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План сметки 2022" sheetId="32" r:id="rId1"/>
    <sheet name="с. Балкански" sheetId="1" r:id="rId2"/>
    <sheet name="с. Благоево" sheetId="2" r:id="rId3"/>
    <sheet name="с. Гецово" sheetId="3" r:id="rId4"/>
    <sheet name="с. Дряновец" sheetId="4" r:id="rId5"/>
    <sheet name="с. Дянково" sheetId="5" r:id="rId6"/>
    <sheet name="с. Киченица" sheetId="6" r:id="rId7"/>
    <sheet name="с. Липник" sheetId="7" r:id="rId8"/>
    <sheet name="с. Мортагоново" sheetId="8" r:id="rId9"/>
    <sheet name="с. Недоклан" sheetId="9" r:id="rId10"/>
    <sheet name="с. Осенец" sheetId="10" r:id="rId11"/>
    <sheet name="с. Островче" sheetId="11" r:id="rId12"/>
    <sheet name="с. Побит камък" sheetId="12" r:id="rId13"/>
    <sheet name="с. Просторно" sheetId="14" r:id="rId14"/>
    <sheet name="с. Пороище" sheetId="13" r:id="rId15"/>
    <sheet name="с. Радинград" sheetId="15" r:id="rId16"/>
    <sheet name="с.Раковски" sheetId="16" r:id="rId17"/>
    <sheet name="с. Стражец" sheetId="17" r:id="rId18"/>
    <sheet name="с. Топчии" sheetId="18" r:id="rId19"/>
    <sheet name="с. Ушинци" sheetId="19" r:id="rId20"/>
    <sheet name="с. Черковна" sheetId="20" r:id="rId21"/>
    <sheet name="с. Ясеновец" sheetId="21" r:id="rId22"/>
    <sheet name="гр. Разград" sheetId="22" r:id="rId23"/>
    <sheet name="Калкулация 24" sheetId="23" r:id="rId24"/>
    <sheet name="Калкулация 25" sheetId="24" r:id="rId25"/>
    <sheet name="Калкулация 26" sheetId="25" r:id="rId26"/>
    <sheet name="Калкулация 27" sheetId="26" r:id="rId27"/>
    <sheet name="Калкулация 28" sheetId="27" r:id="rId28"/>
    <sheet name="Калкулация 29" sheetId="28" r:id="rId29"/>
    <sheet name="Калкулация 30" sheetId="29" r:id="rId30"/>
    <sheet name="Калкулация 31" sheetId="30" r:id="rId31"/>
    <sheet name="Калкулация 32" sheetId="31" r:id="rId32"/>
  </sheets>
  <calcPr calcId="145621" fullPrecision="0"/>
</workbook>
</file>

<file path=xl/calcChain.xml><?xml version="1.0" encoding="utf-8"?>
<calcChain xmlns="http://schemas.openxmlformats.org/spreadsheetml/2006/main">
  <c r="L18" i="22" l="1"/>
  <c r="C18" i="22"/>
  <c r="H18" i="22" s="1"/>
  <c r="G14" i="22"/>
  <c r="G17" i="22"/>
  <c r="C17" i="22"/>
  <c r="H17" i="22" s="1"/>
  <c r="L17" i="22" s="1"/>
  <c r="L19" i="21"/>
  <c r="G19" i="21"/>
  <c r="M10" i="21"/>
  <c r="L13" i="21"/>
  <c r="G13" i="21"/>
  <c r="H12" i="21"/>
  <c r="L12" i="21" s="1"/>
  <c r="G12" i="21"/>
  <c r="C12" i="21"/>
  <c r="L19" i="20"/>
  <c r="G19" i="20"/>
  <c r="M10" i="20"/>
  <c r="L13" i="20"/>
  <c r="G13" i="20"/>
  <c r="H12" i="20"/>
  <c r="L12" i="20" s="1"/>
  <c r="G12" i="20"/>
  <c r="C12" i="20"/>
  <c r="L19" i="19"/>
  <c r="G19" i="19"/>
  <c r="M10" i="19"/>
  <c r="L13" i="19"/>
  <c r="G13" i="19"/>
  <c r="C12" i="19"/>
  <c r="H12" i="19" s="1"/>
  <c r="L12" i="19" s="1"/>
  <c r="L19" i="18"/>
  <c r="G19" i="18"/>
  <c r="M10" i="18"/>
  <c r="L13" i="18"/>
  <c r="G13" i="18"/>
  <c r="H12" i="18"/>
  <c r="L12" i="18" s="1"/>
  <c r="G12" i="18"/>
  <c r="C12" i="18"/>
  <c r="L19" i="17"/>
  <c r="G19" i="17"/>
  <c r="M10" i="17"/>
  <c r="L13" i="17"/>
  <c r="G13" i="17"/>
  <c r="H12" i="17"/>
  <c r="L12" i="17" s="1"/>
  <c r="G12" i="17"/>
  <c r="C12" i="17"/>
  <c r="L19" i="16"/>
  <c r="G19" i="16"/>
  <c r="M10" i="16"/>
  <c r="L13" i="16"/>
  <c r="G13" i="16"/>
  <c r="H12" i="16"/>
  <c r="L12" i="16" s="1"/>
  <c r="G12" i="16"/>
  <c r="C12" i="16"/>
  <c r="L19" i="15"/>
  <c r="G19" i="15"/>
  <c r="M10" i="15"/>
  <c r="L13" i="15"/>
  <c r="G13" i="15"/>
  <c r="H12" i="15"/>
  <c r="L12" i="15" s="1"/>
  <c r="G12" i="15"/>
  <c r="C12" i="15"/>
  <c r="L19" i="13"/>
  <c r="G19" i="13"/>
  <c r="M10" i="13"/>
  <c r="L13" i="13"/>
  <c r="G13" i="13"/>
  <c r="H12" i="13"/>
  <c r="L12" i="13" s="1"/>
  <c r="G12" i="13"/>
  <c r="C12" i="13"/>
  <c r="L19" i="14"/>
  <c r="G19" i="14"/>
  <c r="M10" i="14"/>
  <c r="L13" i="14"/>
  <c r="G13" i="14"/>
  <c r="H12" i="14"/>
  <c r="L12" i="14" s="1"/>
  <c r="C12" i="14"/>
  <c r="G12" i="14" s="1"/>
  <c r="L19" i="12"/>
  <c r="G19" i="12"/>
  <c r="M10" i="12"/>
  <c r="L13" i="12"/>
  <c r="G13" i="12"/>
  <c r="H12" i="12"/>
  <c r="L12" i="12" s="1"/>
  <c r="G12" i="12"/>
  <c r="C12" i="12"/>
  <c r="L19" i="11"/>
  <c r="G19" i="11"/>
  <c r="M10" i="11"/>
  <c r="L13" i="11"/>
  <c r="G13" i="11"/>
  <c r="H12" i="11"/>
  <c r="L12" i="11" s="1"/>
  <c r="G12" i="11"/>
  <c r="C12" i="11"/>
  <c r="L19" i="10"/>
  <c r="G19" i="10"/>
  <c r="M10" i="10"/>
  <c r="L13" i="10"/>
  <c r="G13" i="10"/>
  <c r="H12" i="10"/>
  <c r="L12" i="10" s="1"/>
  <c r="G12" i="10"/>
  <c r="C12" i="10"/>
  <c r="L19" i="9"/>
  <c r="G19" i="9"/>
  <c r="M10" i="9"/>
  <c r="L13" i="9"/>
  <c r="G13" i="9"/>
  <c r="H12" i="9"/>
  <c r="L12" i="9" s="1"/>
  <c r="G12" i="9"/>
  <c r="C12" i="9"/>
  <c r="L19" i="8"/>
  <c r="G19" i="8"/>
  <c r="M10" i="8"/>
  <c r="L13" i="8"/>
  <c r="G13" i="8"/>
  <c r="H12" i="8"/>
  <c r="L12" i="8" s="1"/>
  <c r="G12" i="8"/>
  <c r="C12" i="8"/>
  <c r="L19" i="7"/>
  <c r="G19" i="7"/>
  <c r="M10" i="7"/>
  <c r="L13" i="7"/>
  <c r="G13" i="7"/>
  <c r="H12" i="7"/>
  <c r="L12" i="7" s="1"/>
  <c r="G12" i="7"/>
  <c r="C12" i="7"/>
  <c r="L19" i="6"/>
  <c r="G19" i="6"/>
  <c r="M10" i="6"/>
  <c r="L13" i="6"/>
  <c r="G13" i="6"/>
  <c r="H12" i="6"/>
  <c r="L12" i="6" s="1"/>
  <c r="G12" i="6"/>
  <c r="C12" i="6"/>
  <c r="C12" i="1"/>
  <c r="G12" i="1" s="1"/>
  <c r="G19" i="1" s="1"/>
  <c r="C12" i="3"/>
  <c r="G12" i="3" s="1"/>
  <c r="C12" i="4"/>
  <c r="G12" i="4" s="1"/>
  <c r="L19" i="5"/>
  <c r="G19" i="5"/>
  <c r="M10" i="5"/>
  <c r="C12" i="5"/>
  <c r="H12" i="5" s="1"/>
  <c r="L12" i="5" s="1"/>
  <c r="L13" i="5"/>
  <c r="G13" i="5"/>
  <c r="G12" i="5"/>
  <c r="L13" i="4"/>
  <c r="G13" i="4"/>
  <c r="L13" i="3"/>
  <c r="G13" i="3"/>
  <c r="H12" i="3"/>
  <c r="L12" i="3" s="1"/>
  <c r="L19" i="3" s="1"/>
  <c r="M10" i="2"/>
  <c r="L19" i="2"/>
  <c r="G19" i="2"/>
  <c r="C12" i="2"/>
  <c r="G12" i="2" s="1"/>
  <c r="H12" i="2"/>
  <c r="L12" i="2" s="1"/>
  <c r="C16" i="22"/>
  <c r="C11" i="21"/>
  <c r="C11" i="20"/>
  <c r="C11" i="19"/>
  <c r="C11" i="18"/>
  <c r="C11" i="17"/>
  <c r="C11" i="16"/>
  <c r="C11" i="15"/>
  <c r="C11" i="13"/>
  <c r="C11" i="14"/>
  <c r="C11" i="12"/>
  <c r="C11" i="11"/>
  <c r="C11" i="10"/>
  <c r="C11" i="9"/>
  <c r="C11" i="8"/>
  <c r="C11" i="7"/>
  <c r="C11" i="6"/>
  <c r="C11" i="5"/>
  <c r="C11" i="4"/>
  <c r="L11" i="3"/>
  <c r="C11" i="3"/>
  <c r="C11" i="2"/>
  <c r="H11" i="2"/>
  <c r="L11" i="2" s="1"/>
  <c r="C11" i="1"/>
  <c r="G18" i="22" l="1"/>
  <c r="M15" i="22" s="1"/>
  <c r="G12" i="19"/>
  <c r="G19" i="3"/>
  <c r="M10" i="3"/>
  <c r="M10" i="4"/>
  <c r="G19" i="4"/>
  <c r="H12" i="4"/>
  <c r="L12" i="4" s="1"/>
  <c r="L19" i="4" s="1"/>
  <c r="M10" i="1"/>
  <c r="H12" i="1"/>
  <c r="L12" i="1" s="1"/>
  <c r="L19" i="1" s="1"/>
  <c r="C15" i="31" l="1"/>
  <c r="C12" i="31"/>
  <c r="C9" i="31"/>
  <c r="C15" i="30"/>
  <c r="C12" i="30"/>
  <c r="C9" i="30"/>
  <c r="C15" i="29"/>
  <c r="C20" i="29" s="1"/>
  <c r="C12" i="29"/>
  <c r="C9" i="29"/>
  <c r="C15" i="28"/>
  <c r="C12" i="28"/>
  <c r="C9" i="28"/>
  <c r="C15" i="27"/>
  <c r="C12" i="27"/>
  <c r="C20" i="27" s="1"/>
  <c r="C9" i="27"/>
  <c r="C15" i="26"/>
  <c r="C12" i="26"/>
  <c r="C9" i="26"/>
  <c r="C20" i="26" l="1"/>
  <c r="C20" i="31"/>
  <c r="C20" i="30"/>
  <c r="C20" i="28"/>
  <c r="C15" i="25"/>
  <c r="C20" i="25"/>
  <c r="C12" i="25"/>
  <c r="C9" i="25"/>
  <c r="C15" i="24"/>
  <c r="C20" i="24"/>
  <c r="C12" i="24"/>
  <c r="C9" i="24"/>
  <c r="C15" i="23"/>
  <c r="C20" i="23"/>
  <c r="C12" i="23"/>
  <c r="C9" i="23"/>
  <c r="L34" i="22" l="1"/>
  <c r="G33" i="22"/>
  <c r="G31" i="22"/>
  <c r="G30" i="22"/>
  <c r="G25" i="22"/>
  <c r="G24" i="22"/>
  <c r="G28" i="22"/>
  <c r="G27" i="22"/>
  <c r="G22" i="22"/>
  <c r="G21" i="22"/>
  <c r="M19" i="22" l="1"/>
  <c r="L11" i="22" l="1"/>
  <c r="G11" i="22"/>
  <c r="C7" i="22"/>
  <c r="G8" i="22"/>
  <c r="G9" i="22"/>
  <c r="G7" i="22" s="1"/>
  <c r="L12" i="22"/>
  <c r="G12" i="22"/>
  <c r="L10" i="22"/>
  <c r="G10" i="22"/>
  <c r="L7" i="22"/>
  <c r="L18" i="21"/>
  <c r="G18" i="21"/>
  <c r="L17" i="21"/>
  <c r="G17" i="21"/>
  <c r="L16" i="21"/>
  <c r="G16" i="21"/>
  <c r="L15" i="21"/>
  <c r="G15" i="21"/>
  <c r="G11" i="21"/>
  <c r="L9" i="21"/>
  <c r="G9" i="21"/>
  <c r="L8" i="21"/>
  <c r="G8" i="21"/>
  <c r="M6" i="21" s="1"/>
  <c r="L7" i="21"/>
  <c r="G7" i="21"/>
  <c r="L18" i="20"/>
  <c r="G18" i="20"/>
  <c r="L17" i="20"/>
  <c r="G17" i="20"/>
  <c r="L16" i="20"/>
  <c r="G16" i="20"/>
  <c r="L15" i="20"/>
  <c r="G15" i="20"/>
  <c r="G11" i="20"/>
  <c r="L9" i="20"/>
  <c r="G9" i="20"/>
  <c r="L8" i="20"/>
  <c r="G8" i="20"/>
  <c r="L7" i="20"/>
  <c r="G7" i="20"/>
  <c r="L18" i="19"/>
  <c r="G18" i="19"/>
  <c r="L17" i="19"/>
  <c r="G17" i="19"/>
  <c r="L16" i="19"/>
  <c r="G16" i="19"/>
  <c r="L15" i="19"/>
  <c r="G15" i="19"/>
  <c r="G11" i="19"/>
  <c r="L9" i="19"/>
  <c r="G9" i="19"/>
  <c r="L8" i="19"/>
  <c r="G8" i="19"/>
  <c r="L7" i="19"/>
  <c r="G7" i="19"/>
  <c r="L18" i="18"/>
  <c r="G18" i="18"/>
  <c r="L17" i="18"/>
  <c r="G17" i="18"/>
  <c r="L16" i="18"/>
  <c r="G16" i="18"/>
  <c r="L15" i="18"/>
  <c r="G15" i="18"/>
  <c r="M14" i="18" s="1"/>
  <c r="G11" i="18"/>
  <c r="L9" i="18"/>
  <c r="G9" i="18"/>
  <c r="L8" i="18"/>
  <c r="G8" i="18"/>
  <c r="L7" i="18"/>
  <c r="G7" i="18"/>
  <c r="L18" i="17"/>
  <c r="G18" i="17"/>
  <c r="L17" i="17"/>
  <c r="G17" i="17"/>
  <c r="L16" i="17"/>
  <c r="G16" i="17"/>
  <c r="L15" i="17"/>
  <c r="M14" i="17" s="1"/>
  <c r="G15" i="17"/>
  <c r="G11" i="17"/>
  <c r="H11" i="17"/>
  <c r="L9" i="17"/>
  <c r="G9" i="17"/>
  <c r="L8" i="17"/>
  <c r="G8" i="17"/>
  <c r="L7" i="17"/>
  <c r="G7" i="17"/>
  <c r="L18" i="16"/>
  <c r="G18" i="16"/>
  <c r="L17" i="16"/>
  <c r="G17" i="16"/>
  <c r="L16" i="16"/>
  <c r="G16" i="16"/>
  <c r="L15" i="16"/>
  <c r="G15" i="16"/>
  <c r="G11" i="16"/>
  <c r="L9" i="16"/>
  <c r="G9" i="16"/>
  <c r="L8" i="16"/>
  <c r="G8" i="16"/>
  <c r="L7" i="16"/>
  <c r="G7" i="16"/>
  <c r="L18" i="15"/>
  <c r="G18" i="15"/>
  <c r="L17" i="15"/>
  <c r="G17" i="15"/>
  <c r="L16" i="15"/>
  <c r="G16" i="15"/>
  <c r="L15" i="15"/>
  <c r="G15" i="15"/>
  <c r="G11" i="15"/>
  <c r="L9" i="15"/>
  <c r="G9" i="15"/>
  <c r="L8" i="15"/>
  <c r="G8" i="15"/>
  <c r="L7" i="15"/>
  <c r="G7" i="15"/>
  <c r="L18" i="13"/>
  <c r="G18" i="13"/>
  <c r="L17" i="13"/>
  <c r="G17" i="13"/>
  <c r="L16" i="13"/>
  <c r="G16" i="13"/>
  <c r="L15" i="13"/>
  <c r="G15" i="13"/>
  <c r="G11" i="13"/>
  <c r="L9" i="13"/>
  <c r="G9" i="13"/>
  <c r="L8" i="13"/>
  <c r="G8" i="13"/>
  <c r="L7" i="13"/>
  <c r="G7" i="13"/>
  <c r="L18" i="14"/>
  <c r="G18" i="14"/>
  <c r="L17" i="14"/>
  <c r="G17" i="14"/>
  <c r="L16" i="14"/>
  <c r="G16" i="14"/>
  <c r="L15" i="14"/>
  <c r="G15" i="14"/>
  <c r="G11" i="14"/>
  <c r="L9" i="14"/>
  <c r="G9" i="14"/>
  <c r="L8" i="14"/>
  <c r="G8" i="14"/>
  <c r="M6" i="14" s="1"/>
  <c r="L7" i="14"/>
  <c r="G7" i="14"/>
  <c r="L18" i="12"/>
  <c r="G18" i="12"/>
  <c r="L17" i="12"/>
  <c r="G17" i="12"/>
  <c r="L16" i="12"/>
  <c r="G16" i="12"/>
  <c r="L15" i="12"/>
  <c r="G15" i="12"/>
  <c r="G11" i="12"/>
  <c r="L9" i="12"/>
  <c r="G9" i="12"/>
  <c r="L8" i="12"/>
  <c r="G8" i="12"/>
  <c r="L7" i="12"/>
  <c r="G7" i="12"/>
  <c r="L18" i="11"/>
  <c r="G18" i="11"/>
  <c r="L17" i="11"/>
  <c r="G17" i="11"/>
  <c r="L16" i="11"/>
  <c r="G16" i="11"/>
  <c r="L15" i="11"/>
  <c r="G15" i="11"/>
  <c r="M14" i="11"/>
  <c r="H11" i="11"/>
  <c r="L11" i="11" s="1"/>
  <c r="L9" i="11"/>
  <c r="G9" i="11"/>
  <c r="L8" i="11"/>
  <c r="G8" i="11"/>
  <c r="L7" i="11"/>
  <c r="G7" i="11"/>
  <c r="L18" i="10"/>
  <c r="G18" i="10"/>
  <c r="L17" i="10"/>
  <c r="G17" i="10"/>
  <c r="L16" i="10"/>
  <c r="G16" i="10"/>
  <c r="L15" i="10"/>
  <c r="G15" i="10"/>
  <c r="G11" i="10"/>
  <c r="L9" i="10"/>
  <c r="G9" i="10"/>
  <c r="L8" i="10"/>
  <c r="G8" i="10"/>
  <c r="L7" i="10"/>
  <c r="G7" i="10"/>
  <c r="L18" i="9"/>
  <c r="G18" i="9"/>
  <c r="L17" i="9"/>
  <c r="G17" i="9"/>
  <c r="L16" i="9"/>
  <c r="G16" i="9"/>
  <c r="L15" i="9"/>
  <c r="G15" i="9"/>
  <c r="M14" i="9" s="1"/>
  <c r="G11" i="9"/>
  <c r="L9" i="9"/>
  <c r="G9" i="9"/>
  <c r="L8" i="9"/>
  <c r="G8" i="9"/>
  <c r="L7" i="9"/>
  <c r="G7" i="9"/>
  <c r="L18" i="8"/>
  <c r="G18" i="8"/>
  <c r="L17" i="8"/>
  <c r="G17" i="8"/>
  <c r="L16" i="8"/>
  <c r="G16" i="8"/>
  <c r="L15" i="8"/>
  <c r="G15" i="8"/>
  <c r="M14" i="8" s="1"/>
  <c r="G11" i="8"/>
  <c r="L9" i="8"/>
  <c r="G9" i="8"/>
  <c r="L8" i="8"/>
  <c r="G8" i="8"/>
  <c r="L7" i="8"/>
  <c r="G7" i="8"/>
  <c r="L18" i="7"/>
  <c r="G18" i="7"/>
  <c r="L17" i="7"/>
  <c r="G17" i="7"/>
  <c r="L16" i="7"/>
  <c r="G16" i="7"/>
  <c r="L15" i="7"/>
  <c r="G15" i="7"/>
  <c r="G11" i="7"/>
  <c r="L9" i="7"/>
  <c r="G9" i="7"/>
  <c r="L8" i="7"/>
  <c r="G8" i="7"/>
  <c r="L7" i="7"/>
  <c r="G7" i="7"/>
  <c r="L18" i="6"/>
  <c r="G18" i="6"/>
  <c r="L17" i="6"/>
  <c r="G17" i="6"/>
  <c r="L16" i="6"/>
  <c r="G16" i="6"/>
  <c r="L15" i="6"/>
  <c r="G15" i="6"/>
  <c r="G11" i="6"/>
  <c r="L9" i="6"/>
  <c r="G9" i="6"/>
  <c r="L8" i="6"/>
  <c r="G8" i="6"/>
  <c r="L7" i="6"/>
  <c r="G7" i="6"/>
  <c r="L18" i="5"/>
  <c r="G18" i="5"/>
  <c r="L17" i="5"/>
  <c r="G17" i="5"/>
  <c r="L16" i="5"/>
  <c r="G16" i="5"/>
  <c r="L15" i="5"/>
  <c r="G15" i="5"/>
  <c r="H11" i="5"/>
  <c r="L11" i="5" s="1"/>
  <c r="L9" i="5"/>
  <c r="G9" i="5"/>
  <c r="L8" i="5"/>
  <c r="G8" i="5"/>
  <c r="L7" i="5"/>
  <c r="G7" i="5"/>
  <c r="L18" i="4"/>
  <c r="G18" i="4"/>
  <c r="L17" i="4"/>
  <c r="G17" i="4"/>
  <c r="L16" i="4"/>
  <c r="G16" i="4"/>
  <c r="L15" i="4"/>
  <c r="G15" i="4"/>
  <c r="G11" i="4"/>
  <c r="L9" i="4"/>
  <c r="G9" i="4"/>
  <c r="L8" i="4"/>
  <c r="G8" i="4"/>
  <c r="L7" i="4"/>
  <c r="G7" i="4"/>
  <c r="L18" i="3"/>
  <c r="G18" i="3"/>
  <c r="L17" i="3"/>
  <c r="G17" i="3"/>
  <c r="L16" i="3"/>
  <c r="G16" i="3"/>
  <c r="L15" i="3"/>
  <c r="G15" i="3"/>
  <c r="H11" i="3"/>
  <c r="L9" i="3"/>
  <c r="G9" i="3"/>
  <c r="L8" i="3"/>
  <c r="G8" i="3"/>
  <c r="M6" i="3" s="1"/>
  <c r="L7" i="3"/>
  <c r="G7" i="3"/>
  <c r="G15" i="2"/>
  <c r="G15" i="1"/>
  <c r="L18" i="2"/>
  <c r="G18" i="2"/>
  <c r="L17" i="2"/>
  <c r="G17" i="2"/>
  <c r="L16" i="2"/>
  <c r="G16" i="2"/>
  <c r="L15" i="2"/>
  <c r="L13" i="2"/>
  <c r="G13" i="2"/>
  <c r="L9" i="2"/>
  <c r="G9" i="2"/>
  <c r="L8" i="2"/>
  <c r="G8" i="2"/>
  <c r="L7" i="2"/>
  <c r="G7" i="2"/>
  <c r="M6" i="22" l="1"/>
  <c r="L11" i="17"/>
  <c r="M19" i="17" s="1"/>
  <c r="M14" i="12"/>
  <c r="M6" i="19"/>
  <c r="M14" i="20"/>
  <c r="M14" i="3"/>
  <c r="M14" i="10"/>
  <c r="M6" i="12"/>
  <c r="H11" i="15"/>
  <c r="M14" i="16"/>
  <c r="M6" i="17"/>
  <c r="M6" i="18"/>
  <c r="M6" i="20"/>
  <c r="M14" i="21"/>
  <c r="M14" i="5"/>
  <c r="M6" i="13"/>
  <c r="M14" i="15"/>
  <c r="G16" i="22"/>
  <c r="H16" i="22"/>
  <c r="L16" i="22" s="1"/>
  <c r="L35" i="22" s="1"/>
  <c r="H11" i="21"/>
  <c r="H11" i="20"/>
  <c r="M14" i="19"/>
  <c r="H11" i="19"/>
  <c r="H11" i="18"/>
  <c r="M6" i="16"/>
  <c r="H11" i="16"/>
  <c r="M6" i="15"/>
  <c r="M14" i="13"/>
  <c r="H11" i="13"/>
  <c r="M14" i="14"/>
  <c r="H11" i="14"/>
  <c r="H11" i="12"/>
  <c r="M6" i="11"/>
  <c r="G11" i="11"/>
  <c r="M6" i="10"/>
  <c r="H11" i="10"/>
  <c r="M6" i="9"/>
  <c r="H11" i="9"/>
  <c r="M6" i="8"/>
  <c r="H11" i="8"/>
  <c r="M14" i="7"/>
  <c r="M6" i="7"/>
  <c r="H11" i="7"/>
  <c r="M14" i="6"/>
  <c r="M6" i="6"/>
  <c r="H11" i="6"/>
  <c r="M6" i="5"/>
  <c r="G11" i="5"/>
  <c r="M14" i="4"/>
  <c r="M6" i="4"/>
  <c r="H11" i="4"/>
  <c r="G11" i="3"/>
  <c r="M19" i="3" s="1"/>
  <c r="M14" i="2"/>
  <c r="M6" i="2"/>
  <c r="G11" i="2"/>
  <c r="H11" i="1"/>
  <c r="G11" i="1"/>
  <c r="G16" i="1"/>
  <c r="G17" i="1"/>
  <c r="G18" i="1"/>
  <c r="G13" i="1"/>
  <c r="L15" i="1"/>
  <c r="L16" i="1"/>
  <c r="L17" i="1"/>
  <c r="L18" i="1"/>
  <c r="L13" i="1"/>
  <c r="L8" i="1"/>
  <c r="L9" i="1"/>
  <c r="L7" i="1"/>
  <c r="G8" i="1"/>
  <c r="G9" i="1"/>
  <c r="G7" i="1"/>
  <c r="L11" i="21" l="1"/>
  <c r="M19" i="20"/>
  <c r="L11" i="20"/>
  <c r="L11" i="19"/>
  <c r="M19" i="18"/>
  <c r="L11" i="18"/>
  <c r="L11" i="16"/>
  <c r="M19" i="16" s="1"/>
  <c r="L11" i="15"/>
  <c r="M19" i="15"/>
  <c r="L11" i="13"/>
  <c r="M19" i="13" s="1"/>
  <c r="L11" i="14"/>
  <c r="M19" i="14" s="1"/>
  <c r="L11" i="12"/>
  <c r="L11" i="10"/>
  <c r="M19" i="9"/>
  <c r="L11" i="9"/>
  <c r="L11" i="8"/>
  <c r="M19" i="7"/>
  <c r="L11" i="7"/>
  <c r="M19" i="6"/>
  <c r="L11" i="6"/>
  <c r="M19" i="5"/>
  <c r="L11" i="4"/>
  <c r="G35" i="22"/>
  <c r="M19" i="11"/>
  <c r="L11" i="1"/>
  <c r="M35" i="22"/>
  <c r="M19" i="10"/>
  <c r="M19" i="4"/>
  <c r="M19" i="2"/>
  <c r="M14" i="1"/>
  <c r="C10" i="32" s="1"/>
  <c r="M6" i="1"/>
  <c r="C8" i="32" s="1"/>
  <c r="M19" i="21" l="1"/>
  <c r="M19" i="19"/>
  <c r="M19" i="12"/>
  <c r="M19" i="8"/>
  <c r="M19" i="1"/>
  <c r="C9" i="32" l="1"/>
  <c r="C11" i="32" s="1"/>
</calcChain>
</file>

<file path=xl/sharedStrings.xml><?xml version="1.0" encoding="utf-8"?>
<sst xmlns="http://schemas.openxmlformats.org/spreadsheetml/2006/main" count="1730" uniqueCount="178">
  <si>
    <t>№</t>
  </si>
  <si>
    <t>Събиране и транспортиране на битови отпадъци до съоръжения и инсталации за тяхното третиране</t>
  </si>
  <si>
    <t>Вид на услуга по чл.62 от ЗМДТ:</t>
  </si>
  <si>
    <t>1.</t>
  </si>
  <si>
    <t>2.</t>
  </si>
  <si>
    <t>3.</t>
  </si>
  <si>
    <t>Третиране на битовите отпадъци в съоръжения и инсталации</t>
  </si>
  <si>
    <t>Поддържане на чистотата на териториите за обществено ползване в населените места и селищните образувания в общината</t>
  </si>
  <si>
    <t>Годишни разходи по сключени договори за сметосъбиране, обезвреждане на отпадъци на депо и поддържане чистотата на териториите за обществено ползване</t>
  </si>
  <si>
    <t>Общо годишни разходи</t>
  </si>
  <si>
    <t>Събиране на битовите отпадъци от контейнери тип "Бобър" и транспортирането им до Регионално депо Разград.</t>
  </si>
  <si>
    <t>Събиране и транспортиране на отпадъци при провеждане на кампании за хигиенизиране на населените места</t>
  </si>
  <si>
    <t>Услуга за депониране на един тон отпадък</t>
  </si>
  <si>
    <t>Общо</t>
  </si>
  <si>
    <t>Количества отпадъци в тонове за година</t>
  </si>
  <si>
    <t>Други разходи</t>
  </si>
  <si>
    <t>Разходи за поддържане и обработка на отпадъци в торищната площадка на населеното място</t>
  </si>
  <si>
    <t>Брой контейнери</t>
  </si>
  <si>
    <t>Брой обслужване</t>
  </si>
  <si>
    <t>Ед.цена</t>
  </si>
  <si>
    <t>Контрол за осъществяване на дейности по поддържане чистотата на уличните платна, площадите, алеите, парковите и другите територии в населеното място.</t>
  </si>
  <si>
    <t>Поддържане на чистотата в населеното място изпълнявани по програми за осигуряване на заетост.</t>
  </si>
  <si>
    <t>Почистване на територии за обществено ползване разположени извън урбанизираната част на населеното място</t>
  </si>
  <si>
    <t>Разходи за почистване на улични платна през зимния период</t>
  </si>
  <si>
    <t>I.</t>
  </si>
  <si>
    <t>II.</t>
  </si>
  <si>
    <t>III.</t>
  </si>
  <si>
    <t>4.</t>
  </si>
  <si>
    <t>Годишни разходи на Община Разград за дейности попадащи извън обхвата на сключените договори за сметосъбиране, обезвреждане на отпадъци на депо и поддържане чистотата на териториите за обществено ползване</t>
  </si>
  <si>
    <t>Източник на финан сиране</t>
  </si>
  <si>
    <t>Дължина на уличната мрежа в км.</t>
  </si>
  <si>
    <t xml:space="preserve">Ед. цена за механ. снегопочистване за 1 мсм </t>
  </si>
  <si>
    <t>Брой снегопопочиствания за година</t>
  </si>
  <si>
    <t>ПЛАН – СМЕТКА</t>
  </si>
  <si>
    <t>Приложение № 2</t>
  </si>
  <si>
    <t>Общ размер на отчисленията по чл.60 и чл. 64 от ЗУО за тон отпадък</t>
  </si>
  <si>
    <t>ВСИЧКО:</t>
  </si>
  <si>
    <t>Приходи от такса битови отпадъци</t>
  </si>
  <si>
    <t>Годишни разходи</t>
  </si>
  <si>
    <t>Брой мсм за снегопочистване на 1 км от уличната мрежа</t>
  </si>
  <si>
    <t>на разходите за дейностите по третиране на битовите отпадъци и поддържане на чистотата на територията на с.Балкански, общ.Разград за 2022 година</t>
  </si>
  <si>
    <t>на разходите за дейностите по третиране на битовите отпадъци и поддържане на чистотата на територията на с.Благоево, общ.Разград за 2022 година</t>
  </si>
  <si>
    <t>на разходите за дейностите по третиране на битовите отпадъци и поддържане на чистотата на територията на с.Гецово, общ.Разград за 2022 година</t>
  </si>
  <si>
    <t>Събиране и транспортиране на едрогабаритни отпадъци от контейнери с обем 7 м3. /ГСМ, рез.части и поддръжка на автомобила./</t>
  </si>
  <si>
    <t>Събиране и транспортиране на едрогабаритни отпадъци от контейнери с обем 3 м3. /ГСМ, рез.части и поддръжка на автомобила./</t>
  </si>
  <si>
    <t>Приложение № 3</t>
  </si>
  <si>
    <t>Приложение № 4</t>
  </si>
  <si>
    <t>на разходите за дейностите по третиране на битовите отпадъци и поддържане на чистотата на територията на с.Дряновец, общ.Разград за 2022 година</t>
  </si>
  <si>
    <t>Приложение № 5</t>
  </si>
  <si>
    <t>Приложение № 6</t>
  </si>
  <si>
    <t>на разходите за дейностите по третиране на битовите отпадъци и поддържане на чистотата на територията на с.Дянково, общ.Разград за 2022 година</t>
  </si>
  <si>
    <t>Приложение № 7</t>
  </si>
  <si>
    <t>на разходите за дейностите по третиране на битовите отпадъци и поддържане на чистотата на територията на с.Киченица, общ.Разград за 2022 година</t>
  </si>
  <si>
    <t>на разходите за дейностите по третиране на битовите отпадъци и поддържане на чистотата на територията на с.Липник, общ.Разград за 2022 година</t>
  </si>
  <si>
    <t>Приложение № 8</t>
  </si>
  <si>
    <t>Приложение № 9</t>
  </si>
  <si>
    <t>на разходите за дейностите по третиране на битовите отпадъци и поддържане на чистотата на територията на с.Мортагоново, общ.Разград за 2022 година</t>
  </si>
  <si>
    <t>на разходите за дейностите по третиране на битовите отпадъци и поддържане на чистотата на територията на с.Недоклан, общ.Разград за 2022 година</t>
  </si>
  <si>
    <t>Приложение № 10</t>
  </si>
  <si>
    <t>Приложение № 11</t>
  </si>
  <si>
    <t>на разходите за дейностите по третиране на битовите отпадъци и поддържане на чистотата на територията на с.Осенец, общ.Разград за 2022 година</t>
  </si>
  <si>
    <t>Приложение № 12</t>
  </si>
  <si>
    <t>на разходите за дейностите по третиране на битовите отпадъци и поддържане на чистотата на територията на с.Островче, общ.Разград за 2022 година</t>
  </si>
  <si>
    <t>Приложение № 13</t>
  </si>
  <si>
    <t>на разходите за дейностите по третиране на битовите отпадъци и поддържане на чистотата на територията на с.Побит камък, общ.Разград за 2022 година</t>
  </si>
  <si>
    <t>Приложение № 14</t>
  </si>
  <si>
    <t>на разходите за дейностите по третиране на битовите отпадъци и поддържане на чистотата на територията на с.Просторно, общ.Разград за 2022 година</t>
  </si>
  <si>
    <t>Приложение № 15</t>
  </si>
  <si>
    <t>на разходите за дейностите по третиране на битовите отпадъци и поддържане на чистотата на територията на с.Пороище, общ.Разград за 2022 година</t>
  </si>
  <si>
    <t>Приложение № 16</t>
  </si>
  <si>
    <t>на разходите за дейностите по третиране на битовите отпадъци и поддържане на чистотата на територията на с.Радинград, общ.Разград за 2022 година</t>
  </si>
  <si>
    <t>Приложение № 17</t>
  </si>
  <si>
    <t>на разходите за дейностите по третиране на битовите отпадъци и поддържане на чистотата на територията на с.Раковски, общ.Разград за 2022 година</t>
  </si>
  <si>
    <t>Приложение № 18</t>
  </si>
  <si>
    <t>на разходите за дейностите по третиране на битовите отпадъци и поддържане на чистотата на територията на с.Стражец, общ.Разград за 2022 година</t>
  </si>
  <si>
    <t>Приложение № 19</t>
  </si>
  <si>
    <t>на разходите за дейностите по третиране на битовите отпадъци и поддържане на чистотата на територията на с.Топчии, общ.Разград за 2022 година</t>
  </si>
  <si>
    <t>Приложение № 20</t>
  </si>
  <si>
    <t>на разходите за дейностите по третиране на битовите отпадъци и поддържане на чистотата на територията на с.Ушинци, общ.Разград за 2022 година</t>
  </si>
  <si>
    <t>Събиране и транспортиране на едрогабаритни отпадъци от контейнери с обем 3 и 7 м3. /ГСМ, рез.части и поддръжка на автомобила./</t>
  </si>
  <si>
    <t>Приложение № 21</t>
  </si>
  <si>
    <t>на разходите за дейностите по третиране на битовите отпадъци и поддържане на чистотата на територията на с.Черковна, общ.Разград за 2022 година</t>
  </si>
  <si>
    <t>Приложение № 22</t>
  </si>
  <si>
    <t>на разходите за дейностите по третиране на битовите отпадъци и поддържане на чистотата на територията на с.Ясеновец, общ.Разград за 2022 година</t>
  </si>
  <si>
    <t>Приложение № 23</t>
  </si>
  <si>
    <t>— ежедневно обслужване;</t>
  </si>
  <si>
    <t>— обслужване през ден.</t>
  </si>
  <si>
    <t>1.1.</t>
  </si>
  <si>
    <t>1.2.</t>
  </si>
  <si>
    <t>3</t>
  </si>
  <si>
    <t>Машинно метене</t>
  </si>
  <si>
    <t xml:space="preserve">Ед. цена за механ. почистване за 1 мсм </t>
  </si>
  <si>
    <t>Брой мсм за почистване на 1 км от уличната мрежа</t>
  </si>
  <si>
    <t>Брой почиствания за година</t>
  </si>
  <si>
    <t>Механизирано снегопочистване</t>
  </si>
  <si>
    <t>Механизирано почистване</t>
  </si>
  <si>
    <t>Ръчно почистване</t>
  </si>
  <si>
    <t>Ръчно метене</t>
  </si>
  <si>
    <t>2.1.</t>
  </si>
  <si>
    <t>2.2.</t>
  </si>
  <si>
    <t>Ръчно стъргане на отъпкан сняг и лед на улици, тротоари и площади</t>
  </si>
  <si>
    <t>1.3.</t>
  </si>
  <si>
    <t>1.4.</t>
  </si>
  <si>
    <t>Механизирано опесъчаване</t>
  </si>
  <si>
    <t>Механизирано лугиране</t>
  </si>
  <si>
    <t>Площ в дка</t>
  </si>
  <si>
    <t>Материали</t>
  </si>
  <si>
    <t>3.1.</t>
  </si>
  <si>
    <t>3.2.</t>
  </si>
  <si>
    <t>Пясъко-солна смес съдържаща техн. сол (NaCI)</t>
  </si>
  <si>
    <t xml:space="preserve">Разходна норма за опесъчаване тон /дка </t>
  </si>
  <si>
    <t>Брой обработка за година</t>
  </si>
  <si>
    <t>Ед. цена за тон</t>
  </si>
  <si>
    <t>Ед. цена за дка</t>
  </si>
  <si>
    <t>Луга-натриева луга (воден разтвора на NaCI)</t>
  </si>
  <si>
    <t>Почистване на улични кошчета</t>
  </si>
  <si>
    <t>Брой кошчета</t>
  </si>
  <si>
    <t>Ед. цена за брой</t>
  </si>
  <si>
    <t>Почистване територията на алеите, парковите и други озеленени територии предназначени за обществено ползване</t>
  </si>
  <si>
    <t>5.</t>
  </si>
  <si>
    <t>Доставка на кошчета за територията на алеите, парковите и други озеленени територии предназначени за обществено ползване</t>
  </si>
  <si>
    <t>Приложение №24</t>
  </si>
  <si>
    <t>КАЛКУЛАЦИЯ</t>
  </si>
  <si>
    <t>ВИД</t>
  </si>
  <si>
    <t>СТОЙНОСТ</t>
  </si>
  <si>
    <t>Осигуряване на контейнер тип Бобър от 1,1 куб.м.</t>
  </si>
  <si>
    <t>―единична доставна цена: 750,00 лв.;</t>
  </si>
  <si>
    <t>―срок на амортизация: 4 години;</t>
  </si>
  <si>
    <t>Събиране и транспортиране на отпадъци от контейнер тип Бобър от 1,1 куб.м.</t>
  </si>
  <si>
    <t>―единична цена за  обслужване на контейнер: 5,40 лв.;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</si>
  <si>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364. </t>
    </r>
  </si>
  <si>
    <t>Обезвреждане на отпадъци на депо</t>
  </si>
  <si>
    <t>―цена на услуга за депониране: 15,96 лв./тон;</t>
  </si>
  <si>
    <t>―обезпечение по чл.60, ал.1 от ЗУО в лв./тон: 3,86 лв.;</t>
  </si>
  <si>
    <t xml:space="preserve"> </t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</si>
  <si>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гр.Разград, при ежедневна честота на сметосъбиране и сметоизвозване.</t>
  </si>
  <si>
    <t>―отчисление по чл.64, ал.1 от ЗУО в лв./тон: 95,00 лв.</t>
  </si>
  <si>
    <t>―количества събрани и транспортирани отпадъци:                      364 Х 0,100 = 36,40 тона;</t>
  </si>
  <si>
    <t>Приложение №25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</si>
  <si>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182.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</si>
  <si>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гр.Разград, при честота на сметосъбиране и сметоизвозване 182 пъти годишно /през ден/.</t>
  </si>
  <si>
    <t>―количества събрани и транспортирани отпадъци:                      182 Х 0,100 = 18.20 тона;</t>
  </si>
  <si>
    <t>Приложение №26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</si>
  <si>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156.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</si>
  <si>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гр.Разград, местност "Пчелина", при честота на сметосъбиране и сметоизвозване 156 пъти годишно /три пъти седмично/ .</t>
  </si>
  <si>
    <t>―количества събрани и транспортирани отпадъци:                      156 Х 0,100 = 15.60 тона;</t>
  </si>
  <si>
    <t>Приложение №27</t>
  </si>
  <si>
    <t>―единична цена за  обслужване на контейнер: 8,16 лв.;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</si>
  <si>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28.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</si>
  <si>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с.Недоклан, с.Просторно, с.Топчии и с.Черковна, при честота на сметосъбиране и сметоизвозване 28 /двадесет и осем/ пъти годишно.</t>
  </si>
  <si>
    <t>―количества събрани и транспортирани отпадъци:                      28 Х 0,160 = 4.48 тона;</t>
  </si>
  <si>
    <t>Приложение №28</t>
  </si>
  <si>
    <t>―единична цена за  обслужване на контейнер: 9,78 лв.;</t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</si>
  <si>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с.Балкански, при честота на сметосъбиране и сметоизвозване 28 /двадесет и осем/ пъти годишно.</t>
  </si>
  <si>
    <t>Приложение №29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</si>
  <si>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30.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</si>
  <si>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с.Дряновец, при честота на сметосъбиране и сметоизвозване 30 /тридесет/ пъти годишно.</t>
  </si>
  <si>
    <t>―количества събрани и транспортирани отпадъци:                      30 Х 0,160 = 4.8 тона;</t>
  </si>
  <si>
    <t>Приложение №30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</si>
  <si>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34.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</si>
  <si>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с.Островче, при честота на сметосъбиране и сметоизвозване 34 /тридесет и четири/ пъти годишно.</t>
  </si>
  <si>
    <t>―количества събрани и транспортирани отпадъци:                      34 Х 0,160 = 5.44 тона;</t>
  </si>
  <si>
    <t>Приложение №31</t>
  </si>
  <si>
    <r>
      <rPr>
        <sz val="12"/>
        <color indexed="8"/>
        <rFont val="Arial"/>
        <family val="2"/>
        <charset val="204"/>
      </rPr>
      <t>―</t>
    </r>
    <r>
      <rPr>
        <i/>
        <sz val="12"/>
        <color indexed="8"/>
        <rFont val="Arial"/>
        <family val="2"/>
        <charset val="204"/>
      </rPr>
      <t xml:space="preserve">брой обслужване за една година: 36. </t>
    </r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</si>
  <si>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с.Гецово, с.Дянково, с.Киченица, с.Липник, с.Мортагоново, с.Побит камък, с.Пороище, с.Радинград, с.Стражец, с.Ушинци и с.Ясеновец, при честота на сметосъбиране и сметоизвозване 36 /тридесет и шест/ пъти годишно.</t>
  </si>
  <si>
    <t>―количества събрани и транспортирани отпадъци:                      36 Х 0,160 = 4,32 тона;</t>
  </si>
  <si>
    <t>Приложение №32</t>
  </si>
  <si>
    <t>на разходите определена при условията и реда на чл.67, ал.4 от Закона за местните данъци и такси за 2022 г. според количеството на битовите отпадъци при ползване на контейнер тип "Бобър" от 1,1 куб.м. в с.Благоево, с.Осенец и с.Раковски, при честота на сметосъбиране и сметоизвозване 36 /тридесет и шест/ пъти годишно.</t>
  </si>
  <si>
    <t>―количества събрани и транспортирани отпадъци:                      36 Х 0,160 = 5.76 тона;</t>
  </si>
  <si>
    <t>Приложение №1</t>
  </si>
  <si>
    <t>Стойност с включен ДДС</t>
  </si>
  <si>
    <t>на обобщените разходите за дейностите по третиране на битовите отпадъци и поддържане на чистотата на териториите на населените места в Община Разград за 2022 година по Приложения №№ 2, 3, 4, 5, 6, 7, 8, 9, 10, 11, 12, 13, 14, 15, 16, 17, 18, 19, 20, 21, 22 и 23</t>
  </si>
  <si>
    <t>на разходите за дейностите по третиране на битовите отпадъци и поддържане на чистотата на територията на гр. Разград, общ.Разград за 2022 година</t>
  </si>
  <si>
    <t>Събиране на едрогабаритни и нерегламентирано изхвърлени отпадъци и транспортиране до регионално депо</t>
  </si>
  <si>
    <t xml:space="preserve">Обезвреждане на битови отпадъци на Регионално депо Разград от контейнери тип "Бобър". </t>
  </si>
  <si>
    <t>Обезвреждане на отпадъци на Регионално депо Разград от контейнери с обем 7 м3.</t>
  </si>
  <si>
    <t>Обезвреждане на едрогабаритни и нерегламентирано изхвърлени отпадъци</t>
  </si>
  <si>
    <t>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</si>
</sst>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лв.&quot;;[Red]#,##0.00\ &quot;лв.&quot;"/>
    <numFmt numFmtId="165" formatCode="#,##0.00\ &quot;лв.&quot;"/>
    <numFmt numFmtId="166" formatCode="#,##0.00\ &quot;лв&quot;"/>
    <numFmt numFmtId="167" formatCode="#,##0.000"/>
    <numFmt numFmtId="168" formatCode="#,##0\ &quot;лв.&quot;"/>
    <numFmt numFmtId="169" formatCode="#,##0.00\ _л_в_."/>
    <numFmt numFmtId="170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2" fillId="0" borderId="4" xfId="0" applyFont="1" applyBorder="1" applyAlignment="1">
      <alignment vertical="top" wrapText="1"/>
    </xf>
    <xf numFmtId="49" fontId="0" fillId="0" borderId="5" xfId="0" applyNumberFormat="1" applyBorder="1" applyAlignment="1">
      <alignment horizontal="left"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/>
    </xf>
    <xf numFmtId="49" fontId="0" fillId="0" borderId="22" xfId="0" applyNumberFormat="1" applyBorder="1" applyAlignment="1">
      <alignment horizontal="left" vertical="top"/>
    </xf>
    <xf numFmtId="0" fontId="3" fillId="0" borderId="23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164" fontId="0" fillId="0" borderId="6" xfId="0" applyNumberFormat="1" applyBorder="1" applyAlignment="1">
      <alignment horizontal="right" vertical="center"/>
    </xf>
    <xf numFmtId="164" fontId="0" fillId="0" borderId="6" xfId="0" applyNumberFormat="1" applyBorder="1" applyAlignment="1">
      <alignment vertical="center"/>
    </xf>
    <xf numFmtId="164" fontId="0" fillId="0" borderId="10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3" borderId="7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0" xfId="0" applyNumberForma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164" fontId="0" fillId="4" borderId="1" xfId="0" applyNumberFormat="1" applyFill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0" fillId="0" borderId="0" xfId="0" applyNumberFormat="1"/>
    <xf numFmtId="0" fontId="2" fillId="3" borderId="11" xfId="0" applyFont="1" applyFill="1" applyBorder="1"/>
    <xf numFmtId="0" fontId="2" fillId="3" borderId="2" xfId="0" applyFont="1" applyFill="1" applyBorder="1"/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0" borderId="1" xfId="0" applyNumberFormat="1" applyBorder="1" applyAlignment="1">
      <alignment vertical="center" wrapText="1"/>
    </xf>
    <xf numFmtId="165" fontId="0" fillId="4" borderId="1" xfId="0" applyNumberFormat="1" applyFill="1" applyBorder="1" applyAlignment="1">
      <alignment vertical="center" wrapText="1"/>
    </xf>
    <xf numFmtId="2" fontId="0" fillId="4" borderId="5" xfId="0" applyNumberForma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/>
    </xf>
    <xf numFmtId="165" fontId="0" fillId="0" borderId="24" xfId="0" applyNumberFormat="1" applyBorder="1" applyAlignment="1">
      <alignment horizontal="right" vertical="center"/>
    </xf>
    <xf numFmtId="0" fontId="0" fillId="5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165" fontId="0" fillId="5" borderId="1" xfId="0" applyNumberForma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center" wrapText="1"/>
    </xf>
    <xf numFmtId="0" fontId="0" fillId="0" borderId="23" xfId="0" applyBorder="1" applyAlignment="1">
      <alignment vertical="top" wrapText="1"/>
    </xf>
    <xf numFmtId="0" fontId="0" fillId="3" borderId="22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49" fontId="4" fillId="0" borderId="5" xfId="0" applyNumberFormat="1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164" fontId="0" fillId="0" borderId="8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left" vertical="top"/>
    </xf>
    <xf numFmtId="164" fontId="0" fillId="0" borderId="8" xfId="0" applyNumberFormat="1" applyBorder="1" applyAlignment="1">
      <alignment horizontal="right" vertical="center"/>
    </xf>
    <xf numFmtId="0" fontId="2" fillId="0" borderId="31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3" borderId="33" xfId="0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vertical="center" wrapText="1"/>
    </xf>
    <xf numFmtId="0" fontId="0" fillId="0" borderId="31" xfId="0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top" wrapText="1"/>
    </xf>
    <xf numFmtId="49" fontId="2" fillId="0" borderId="22" xfId="0" applyNumberFormat="1" applyFont="1" applyBorder="1" applyAlignment="1">
      <alignment horizontal="center" vertical="top"/>
    </xf>
    <xf numFmtId="0" fontId="0" fillId="5" borderId="1" xfId="0" applyFill="1" applyBorder="1" applyAlignment="1">
      <alignment horizontal="center" vertical="center" wrapText="1"/>
    </xf>
    <xf numFmtId="0" fontId="2" fillId="3" borderId="6" xfId="0" applyFon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/>
    </xf>
    <xf numFmtId="0" fontId="2" fillId="3" borderId="33" xfId="0" applyFont="1" applyFill="1" applyBorder="1"/>
    <xf numFmtId="0" fontId="0" fillId="3" borderId="3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0" xfId="0" applyFont="1" applyBorder="1" applyAlignment="1">
      <alignment vertical="top"/>
    </xf>
    <xf numFmtId="0" fontId="8" fillId="0" borderId="41" xfId="0" applyFont="1" applyBorder="1" applyAlignment="1">
      <alignment vertical="top" wrapText="1"/>
    </xf>
    <xf numFmtId="166" fontId="8" fillId="0" borderId="40" xfId="0" applyNumberFormat="1" applyFont="1" applyBorder="1" applyAlignment="1">
      <alignment horizontal="right" vertical="top"/>
    </xf>
    <xf numFmtId="0" fontId="8" fillId="0" borderId="42" xfId="0" applyFont="1" applyBorder="1" applyAlignment="1">
      <alignment vertical="top"/>
    </xf>
    <xf numFmtId="0" fontId="9" fillId="0" borderId="0" xfId="0" applyFont="1" applyBorder="1" applyAlignment="1">
      <alignment wrapText="1"/>
    </xf>
    <xf numFmtId="166" fontId="8" fillId="0" borderId="42" xfId="0" applyNumberFormat="1" applyFont="1" applyBorder="1" applyAlignment="1">
      <alignment horizontal="right" vertical="top"/>
    </xf>
    <xf numFmtId="0" fontId="8" fillId="0" borderId="43" xfId="0" applyFont="1" applyBorder="1" applyAlignment="1">
      <alignment vertical="top"/>
    </xf>
    <xf numFmtId="0" fontId="9" fillId="0" borderId="35" xfId="0" applyFont="1" applyBorder="1" applyAlignment="1">
      <alignment wrapText="1"/>
    </xf>
    <xf numFmtId="166" fontId="8" fillId="0" borderId="43" xfId="0" applyNumberFormat="1" applyFont="1" applyBorder="1" applyAlignment="1">
      <alignment horizontal="right" vertical="top"/>
    </xf>
    <xf numFmtId="0" fontId="8" fillId="0" borderId="41" xfId="0" applyFont="1" applyBorder="1" applyAlignment="1">
      <alignment wrapText="1"/>
    </xf>
    <xf numFmtId="0" fontId="8" fillId="0" borderId="42" xfId="0" applyFont="1" applyBorder="1"/>
    <xf numFmtId="166" fontId="8" fillId="0" borderId="42" xfId="0" applyNumberFormat="1" applyFont="1" applyBorder="1"/>
    <xf numFmtId="0" fontId="8" fillId="0" borderId="43" xfId="0" applyFont="1" applyBorder="1"/>
    <xf numFmtId="166" fontId="8" fillId="0" borderId="43" xfId="0" applyNumberFormat="1" applyFont="1" applyBorder="1"/>
    <xf numFmtId="0" fontId="8" fillId="0" borderId="40" xfId="0" applyFont="1" applyBorder="1"/>
    <xf numFmtId="166" fontId="8" fillId="0" borderId="40" xfId="0" applyNumberFormat="1" applyFont="1" applyBorder="1"/>
    <xf numFmtId="0" fontId="7" fillId="0" borderId="42" xfId="0" applyFont="1" applyBorder="1"/>
    <xf numFmtId="0" fontId="9" fillId="0" borderId="0" xfId="0" applyFont="1" applyBorder="1"/>
    <xf numFmtId="166" fontId="7" fillId="0" borderId="42" xfId="0" applyNumberFormat="1" applyFont="1" applyBorder="1"/>
    <xf numFmtId="0" fontId="7" fillId="0" borderId="43" xfId="0" applyFont="1" applyBorder="1"/>
    <xf numFmtId="0" fontId="9" fillId="0" borderId="35" xfId="0" applyFont="1" applyBorder="1"/>
    <xf numFmtId="166" fontId="7" fillId="0" borderId="43" xfId="0" applyNumberFormat="1" applyFont="1" applyBorder="1"/>
    <xf numFmtId="0" fontId="8" fillId="0" borderId="26" xfId="0" applyFont="1" applyBorder="1"/>
    <xf numFmtId="0" fontId="8" fillId="0" borderId="27" xfId="0" applyFont="1" applyBorder="1" applyAlignment="1">
      <alignment horizontal="right" vertical="center"/>
    </xf>
    <xf numFmtId="166" fontId="8" fillId="0" borderId="39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3" fontId="15" fillId="0" borderId="0" xfId="0" applyNumberFormat="1" applyFont="1"/>
    <xf numFmtId="166" fontId="15" fillId="0" borderId="0" xfId="0" applyNumberFormat="1" applyFont="1"/>
    <xf numFmtId="0" fontId="15" fillId="0" borderId="0" xfId="0" applyFont="1" applyAlignment="1">
      <alignment horizontal="right"/>
    </xf>
    <xf numFmtId="166" fontId="12" fillId="0" borderId="0" xfId="0" applyNumberFormat="1" applyFont="1"/>
    <xf numFmtId="0" fontId="16" fillId="0" borderId="0" xfId="0" applyFont="1"/>
    <xf numFmtId="3" fontId="12" fillId="0" borderId="0" xfId="0" applyNumberFormat="1" applyFont="1"/>
    <xf numFmtId="0" fontId="17" fillId="0" borderId="0" xfId="0" applyFont="1"/>
    <xf numFmtId="3" fontId="18" fillId="0" borderId="0" xfId="0" applyNumberFormat="1" applyFont="1"/>
    <xf numFmtId="0" fontId="12" fillId="0" borderId="0" xfId="0" applyFont="1" applyBorder="1"/>
    <xf numFmtId="0" fontId="18" fillId="0" borderId="0" xfId="0" applyFont="1" applyBorder="1"/>
    <xf numFmtId="167" fontId="18" fillId="0" borderId="0" xfId="0" applyNumberFormat="1" applyFont="1" applyBorder="1"/>
    <xf numFmtId="3" fontId="12" fillId="0" borderId="0" xfId="0" applyNumberFormat="1" applyFont="1" applyBorder="1"/>
    <xf numFmtId="0" fontId="18" fillId="0" borderId="0" xfId="0" applyFont="1" applyBorder="1" applyAlignment="1">
      <alignment vertical="center" wrapText="1"/>
    </xf>
    <xf numFmtId="168" fontId="18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168" fontId="19" fillId="0" borderId="0" xfId="0" applyNumberFormat="1" applyFont="1" applyBorder="1" applyAlignment="1">
      <alignment vertical="center"/>
    </xf>
    <xf numFmtId="165" fontId="12" fillId="0" borderId="0" xfId="0" applyNumberFormat="1" applyFont="1" applyBorder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/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8" fontId="20" fillId="0" borderId="0" xfId="0" applyNumberFormat="1" applyFont="1" applyBorder="1" applyAlignment="1">
      <alignment vertical="center"/>
    </xf>
    <xf numFmtId="169" fontId="18" fillId="0" borderId="0" xfId="0" applyNumberFormat="1" applyFont="1" applyBorder="1"/>
    <xf numFmtId="0" fontId="7" fillId="0" borderId="0" xfId="0" applyFont="1" applyBorder="1"/>
    <xf numFmtId="169" fontId="7" fillId="0" borderId="0" xfId="0" applyNumberFormat="1" applyFont="1" applyBorder="1"/>
    <xf numFmtId="0" fontId="11" fillId="0" borderId="0" xfId="0" applyFont="1" applyBorder="1"/>
    <xf numFmtId="0" fontId="14" fillId="0" borderId="13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left" vertical="top"/>
    </xf>
    <xf numFmtId="0" fontId="21" fillId="0" borderId="2" xfId="0" applyFont="1" applyBorder="1" applyAlignment="1">
      <alignment vertical="top" wrapText="1"/>
    </xf>
    <xf numFmtId="49" fontId="21" fillId="0" borderId="5" xfId="0" applyNumberFormat="1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165" fontId="7" fillId="0" borderId="12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vertical="center" wrapText="1"/>
    </xf>
    <xf numFmtId="165" fontId="7" fillId="0" borderId="6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vertical="center"/>
    </xf>
    <xf numFmtId="165" fontId="15" fillId="0" borderId="0" xfId="0" applyNumberFormat="1" applyFont="1"/>
    <xf numFmtId="0" fontId="0" fillId="0" borderId="1" xfId="0" applyBorder="1" applyAlignment="1">
      <alignment wrapText="1"/>
    </xf>
    <xf numFmtId="165" fontId="0" fillId="5" borderId="1" xfId="0" applyNumberForma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vertical="center" wrapText="1"/>
    </xf>
    <xf numFmtId="2" fontId="0" fillId="4" borderId="22" xfId="0" applyNumberFormat="1" applyFill="1" applyBorder="1" applyAlignment="1">
      <alignment horizontal="center" vertical="center" wrapText="1"/>
    </xf>
    <xf numFmtId="0" fontId="0" fillId="3" borderId="24" xfId="0" applyFill="1" applyBorder="1" applyAlignment="1">
      <alignment vertical="center"/>
    </xf>
    <xf numFmtId="164" fontId="2" fillId="0" borderId="46" xfId="0" applyNumberFormat="1" applyFont="1" applyBorder="1" applyAlignment="1">
      <alignment vertical="center" wrapText="1"/>
    </xf>
    <xf numFmtId="164" fontId="2" fillId="0" borderId="47" xfId="0" applyNumberFormat="1" applyFont="1" applyBorder="1" applyAlignment="1">
      <alignment vertical="center" wrapText="1"/>
    </xf>
    <xf numFmtId="164" fontId="2" fillId="0" borderId="48" xfId="0" applyNumberFormat="1" applyFont="1" applyBorder="1" applyAlignment="1">
      <alignment vertical="center" wrapText="1"/>
    </xf>
    <xf numFmtId="164" fontId="0" fillId="0" borderId="23" xfId="0" applyNumberFormat="1" applyBorder="1" applyAlignment="1">
      <alignment horizontal="right" vertical="center"/>
    </xf>
    <xf numFmtId="0" fontId="0" fillId="3" borderId="22" xfId="0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37" xfId="0" applyFont="1" applyBorder="1" applyAlignment="1">
      <alignment horizontal="center" vertical="top" wrapText="1"/>
    </xf>
    <xf numFmtId="2" fontId="0" fillId="4" borderId="33" xfId="0" applyNumberFormat="1" applyFill="1" applyBorder="1" applyAlignment="1">
      <alignment horizontal="center" vertical="center" wrapText="1"/>
    </xf>
    <xf numFmtId="0" fontId="0" fillId="3" borderId="33" xfId="0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2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/>
    </xf>
    <xf numFmtId="0" fontId="2" fillId="3" borderId="12" xfId="0" applyFont="1" applyFill="1" applyBorder="1"/>
    <xf numFmtId="0" fontId="2" fillId="3" borderId="49" xfId="0" applyFont="1" applyFill="1" applyBorder="1"/>
    <xf numFmtId="49" fontId="0" fillId="0" borderId="18" xfId="0" applyNumberFormat="1" applyBorder="1" applyAlignment="1">
      <alignment horizontal="left" vertical="top"/>
    </xf>
    <xf numFmtId="0" fontId="0" fillId="0" borderId="50" xfId="0" applyBorder="1" applyAlignment="1">
      <alignment vertical="top" wrapText="1"/>
    </xf>
    <xf numFmtId="2" fontId="0" fillId="0" borderId="18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vertical="center"/>
    </xf>
    <xf numFmtId="0" fontId="0" fillId="3" borderId="51" xfId="0" applyFill="1" applyBorder="1" applyAlignment="1">
      <alignment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3" borderId="33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0" fillId="0" borderId="29" xfId="0" applyNumberFormat="1" applyBorder="1" applyAlignment="1">
      <alignment vertical="center"/>
    </xf>
    <xf numFmtId="164" fontId="2" fillId="0" borderId="44" xfId="0" applyNumberFormat="1" applyFont="1" applyBorder="1" applyAlignment="1">
      <alignment vertical="center" wrapText="1"/>
    </xf>
    <xf numFmtId="164" fontId="2" fillId="0" borderId="45" xfId="0" applyNumberFormat="1" applyFont="1" applyBorder="1" applyAlignment="1">
      <alignment vertical="center" wrapText="1"/>
    </xf>
    <xf numFmtId="164" fontId="2" fillId="0" borderId="34" xfId="0" applyNumberFormat="1" applyFont="1" applyBorder="1" applyAlignment="1">
      <alignment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vertical="center" wrapText="1"/>
    </xf>
    <xf numFmtId="164" fontId="0" fillId="0" borderId="33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vertical="center" wrapText="1"/>
    </xf>
    <xf numFmtId="2" fontId="0" fillId="4" borderId="18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vertical="center" wrapText="1"/>
    </xf>
    <xf numFmtId="164" fontId="0" fillId="4" borderId="10" xfId="0" applyNumberFormat="1" applyFill="1" applyBorder="1" applyAlignment="1">
      <alignment vertical="center" wrapText="1"/>
    </xf>
    <xf numFmtId="170" fontId="0" fillId="0" borderId="1" xfId="0" applyNumberForma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0" fontId="5" fillId="0" borderId="3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Zeros="0" tabSelected="1" workbookViewId="0">
      <selection sqref="A1:C1"/>
    </sheetView>
  </sheetViews>
  <sheetFormatPr defaultRowHeight="15" x14ac:dyDescent="0.25"/>
  <cols>
    <col min="1" max="1" width="5" customWidth="1"/>
    <col min="2" max="2" width="64.28515625" customWidth="1"/>
    <col min="3" max="3" width="19.28515625" customWidth="1"/>
    <col min="6" max="6" width="22" style="146" customWidth="1"/>
    <col min="7" max="7" width="18.5703125" style="146" customWidth="1"/>
    <col min="8" max="8" width="11.42578125" style="145" customWidth="1"/>
    <col min="9" max="9" width="9.28515625" style="145" customWidth="1"/>
    <col min="10" max="10" width="9.28515625" style="146" customWidth="1"/>
    <col min="257" max="257" width="5" customWidth="1"/>
    <col min="258" max="258" width="79.7109375" customWidth="1"/>
    <col min="259" max="259" width="20.5703125" customWidth="1"/>
    <col min="262" max="262" width="22" customWidth="1"/>
    <col min="263" max="263" width="18.5703125" customWidth="1"/>
    <col min="264" max="264" width="11.42578125" customWidth="1"/>
    <col min="265" max="266" width="9.28515625" customWidth="1"/>
    <col min="513" max="513" width="5" customWidth="1"/>
    <col min="514" max="514" width="79.7109375" customWidth="1"/>
    <col min="515" max="515" width="20.5703125" customWidth="1"/>
    <col min="518" max="518" width="22" customWidth="1"/>
    <col min="519" max="519" width="18.5703125" customWidth="1"/>
    <col min="520" max="520" width="11.42578125" customWidth="1"/>
    <col min="521" max="522" width="9.28515625" customWidth="1"/>
    <col min="769" max="769" width="5" customWidth="1"/>
    <col min="770" max="770" width="79.7109375" customWidth="1"/>
    <col min="771" max="771" width="20.5703125" customWidth="1"/>
    <col min="774" max="774" width="22" customWidth="1"/>
    <col min="775" max="775" width="18.5703125" customWidth="1"/>
    <col min="776" max="776" width="11.42578125" customWidth="1"/>
    <col min="777" max="778" width="9.28515625" customWidth="1"/>
    <col min="1025" max="1025" width="5" customWidth="1"/>
    <col min="1026" max="1026" width="79.7109375" customWidth="1"/>
    <col min="1027" max="1027" width="20.5703125" customWidth="1"/>
    <col min="1030" max="1030" width="22" customWidth="1"/>
    <col min="1031" max="1031" width="18.5703125" customWidth="1"/>
    <col min="1032" max="1032" width="11.42578125" customWidth="1"/>
    <col min="1033" max="1034" width="9.28515625" customWidth="1"/>
    <col min="1281" max="1281" width="5" customWidth="1"/>
    <col min="1282" max="1282" width="79.7109375" customWidth="1"/>
    <col min="1283" max="1283" width="20.5703125" customWidth="1"/>
    <col min="1286" max="1286" width="22" customWidth="1"/>
    <col min="1287" max="1287" width="18.5703125" customWidth="1"/>
    <col min="1288" max="1288" width="11.42578125" customWidth="1"/>
    <col min="1289" max="1290" width="9.28515625" customWidth="1"/>
    <col min="1537" max="1537" width="5" customWidth="1"/>
    <col min="1538" max="1538" width="79.7109375" customWidth="1"/>
    <col min="1539" max="1539" width="20.5703125" customWidth="1"/>
    <col min="1542" max="1542" width="22" customWidth="1"/>
    <col min="1543" max="1543" width="18.5703125" customWidth="1"/>
    <col min="1544" max="1544" width="11.42578125" customWidth="1"/>
    <col min="1545" max="1546" width="9.28515625" customWidth="1"/>
    <col min="1793" max="1793" width="5" customWidth="1"/>
    <col min="1794" max="1794" width="79.7109375" customWidth="1"/>
    <col min="1795" max="1795" width="20.5703125" customWidth="1"/>
    <col min="1798" max="1798" width="22" customWidth="1"/>
    <col min="1799" max="1799" width="18.5703125" customWidth="1"/>
    <col min="1800" max="1800" width="11.42578125" customWidth="1"/>
    <col min="1801" max="1802" width="9.28515625" customWidth="1"/>
    <col min="2049" max="2049" width="5" customWidth="1"/>
    <col min="2050" max="2050" width="79.7109375" customWidth="1"/>
    <col min="2051" max="2051" width="20.5703125" customWidth="1"/>
    <col min="2054" max="2054" width="22" customWidth="1"/>
    <col min="2055" max="2055" width="18.5703125" customWidth="1"/>
    <col min="2056" max="2056" width="11.42578125" customWidth="1"/>
    <col min="2057" max="2058" width="9.28515625" customWidth="1"/>
    <col min="2305" max="2305" width="5" customWidth="1"/>
    <col min="2306" max="2306" width="79.7109375" customWidth="1"/>
    <col min="2307" max="2307" width="20.5703125" customWidth="1"/>
    <col min="2310" max="2310" width="22" customWidth="1"/>
    <col min="2311" max="2311" width="18.5703125" customWidth="1"/>
    <col min="2312" max="2312" width="11.42578125" customWidth="1"/>
    <col min="2313" max="2314" width="9.28515625" customWidth="1"/>
    <col min="2561" max="2561" width="5" customWidth="1"/>
    <col min="2562" max="2562" width="79.7109375" customWidth="1"/>
    <col min="2563" max="2563" width="20.5703125" customWidth="1"/>
    <col min="2566" max="2566" width="22" customWidth="1"/>
    <col min="2567" max="2567" width="18.5703125" customWidth="1"/>
    <col min="2568" max="2568" width="11.42578125" customWidth="1"/>
    <col min="2569" max="2570" width="9.28515625" customWidth="1"/>
    <col min="2817" max="2817" width="5" customWidth="1"/>
    <col min="2818" max="2818" width="79.7109375" customWidth="1"/>
    <col min="2819" max="2819" width="20.5703125" customWidth="1"/>
    <col min="2822" max="2822" width="22" customWidth="1"/>
    <col min="2823" max="2823" width="18.5703125" customWidth="1"/>
    <col min="2824" max="2824" width="11.42578125" customWidth="1"/>
    <col min="2825" max="2826" width="9.28515625" customWidth="1"/>
    <col min="3073" max="3073" width="5" customWidth="1"/>
    <col min="3074" max="3074" width="79.7109375" customWidth="1"/>
    <col min="3075" max="3075" width="20.5703125" customWidth="1"/>
    <col min="3078" max="3078" width="22" customWidth="1"/>
    <col min="3079" max="3079" width="18.5703125" customWidth="1"/>
    <col min="3080" max="3080" width="11.42578125" customWidth="1"/>
    <col min="3081" max="3082" width="9.28515625" customWidth="1"/>
    <col min="3329" max="3329" width="5" customWidth="1"/>
    <col min="3330" max="3330" width="79.7109375" customWidth="1"/>
    <col min="3331" max="3331" width="20.5703125" customWidth="1"/>
    <col min="3334" max="3334" width="22" customWidth="1"/>
    <col min="3335" max="3335" width="18.5703125" customWidth="1"/>
    <col min="3336" max="3336" width="11.42578125" customWidth="1"/>
    <col min="3337" max="3338" width="9.28515625" customWidth="1"/>
    <col min="3585" max="3585" width="5" customWidth="1"/>
    <col min="3586" max="3586" width="79.7109375" customWidth="1"/>
    <col min="3587" max="3587" width="20.5703125" customWidth="1"/>
    <col min="3590" max="3590" width="22" customWidth="1"/>
    <col min="3591" max="3591" width="18.5703125" customWidth="1"/>
    <col min="3592" max="3592" width="11.42578125" customWidth="1"/>
    <col min="3593" max="3594" width="9.28515625" customWidth="1"/>
    <col min="3841" max="3841" width="5" customWidth="1"/>
    <col min="3842" max="3842" width="79.7109375" customWidth="1"/>
    <col min="3843" max="3843" width="20.5703125" customWidth="1"/>
    <col min="3846" max="3846" width="22" customWidth="1"/>
    <col min="3847" max="3847" width="18.5703125" customWidth="1"/>
    <col min="3848" max="3848" width="11.42578125" customWidth="1"/>
    <col min="3849" max="3850" width="9.28515625" customWidth="1"/>
    <col min="4097" max="4097" width="5" customWidth="1"/>
    <col min="4098" max="4098" width="79.7109375" customWidth="1"/>
    <col min="4099" max="4099" width="20.5703125" customWidth="1"/>
    <col min="4102" max="4102" width="22" customWidth="1"/>
    <col min="4103" max="4103" width="18.5703125" customWidth="1"/>
    <col min="4104" max="4104" width="11.42578125" customWidth="1"/>
    <col min="4105" max="4106" width="9.28515625" customWidth="1"/>
    <col min="4353" max="4353" width="5" customWidth="1"/>
    <col min="4354" max="4354" width="79.7109375" customWidth="1"/>
    <col min="4355" max="4355" width="20.5703125" customWidth="1"/>
    <col min="4358" max="4358" width="22" customWidth="1"/>
    <col min="4359" max="4359" width="18.5703125" customWidth="1"/>
    <col min="4360" max="4360" width="11.42578125" customWidth="1"/>
    <col min="4361" max="4362" width="9.28515625" customWidth="1"/>
    <col min="4609" max="4609" width="5" customWidth="1"/>
    <col min="4610" max="4610" width="79.7109375" customWidth="1"/>
    <col min="4611" max="4611" width="20.5703125" customWidth="1"/>
    <col min="4614" max="4614" width="22" customWidth="1"/>
    <col min="4615" max="4615" width="18.5703125" customWidth="1"/>
    <col min="4616" max="4616" width="11.42578125" customWidth="1"/>
    <col min="4617" max="4618" width="9.28515625" customWidth="1"/>
    <col min="4865" max="4865" width="5" customWidth="1"/>
    <col min="4866" max="4866" width="79.7109375" customWidth="1"/>
    <col min="4867" max="4867" width="20.5703125" customWidth="1"/>
    <col min="4870" max="4870" width="22" customWidth="1"/>
    <col min="4871" max="4871" width="18.5703125" customWidth="1"/>
    <col min="4872" max="4872" width="11.42578125" customWidth="1"/>
    <col min="4873" max="4874" width="9.28515625" customWidth="1"/>
    <col min="5121" max="5121" width="5" customWidth="1"/>
    <col min="5122" max="5122" width="79.7109375" customWidth="1"/>
    <col min="5123" max="5123" width="20.5703125" customWidth="1"/>
    <col min="5126" max="5126" width="22" customWidth="1"/>
    <col min="5127" max="5127" width="18.5703125" customWidth="1"/>
    <col min="5128" max="5128" width="11.42578125" customWidth="1"/>
    <col min="5129" max="5130" width="9.28515625" customWidth="1"/>
    <col min="5377" max="5377" width="5" customWidth="1"/>
    <col min="5378" max="5378" width="79.7109375" customWidth="1"/>
    <col min="5379" max="5379" width="20.5703125" customWidth="1"/>
    <col min="5382" max="5382" width="22" customWidth="1"/>
    <col min="5383" max="5383" width="18.5703125" customWidth="1"/>
    <col min="5384" max="5384" width="11.42578125" customWidth="1"/>
    <col min="5385" max="5386" width="9.28515625" customWidth="1"/>
    <col min="5633" max="5633" width="5" customWidth="1"/>
    <col min="5634" max="5634" width="79.7109375" customWidth="1"/>
    <col min="5635" max="5635" width="20.5703125" customWidth="1"/>
    <col min="5638" max="5638" width="22" customWidth="1"/>
    <col min="5639" max="5639" width="18.5703125" customWidth="1"/>
    <col min="5640" max="5640" width="11.42578125" customWidth="1"/>
    <col min="5641" max="5642" width="9.28515625" customWidth="1"/>
    <col min="5889" max="5889" width="5" customWidth="1"/>
    <col min="5890" max="5890" width="79.7109375" customWidth="1"/>
    <col min="5891" max="5891" width="20.5703125" customWidth="1"/>
    <col min="5894" max="5894" width="22" customWidth="1"/>
    <col min="5895" max="5895" width="18.5703125" customWidth="1"/>
    <col min="5896" max="5896" width="11.42578125" customWidth="1"/>
    <col min="5897" max="5898" width="9.28515625" customWidth="1"/>
    <col min="6145" max="6145" width="5" customWidth="1"/>
    <col min="6146" max="6146" width="79.7109375" customWidth="1"/>
    <col min="6147" max="6147" width="20.5703125" customWidth="1"/>
    <col min="6150" max="6150" width="22" customWidth="1"/>
    <col min="6151" max="6151" width="18.5703125" customWidth="1"/>
    <col min="6152" max="6152" width="11.42578125" customWidth="1"/>
    <col min="6153" max="6154" width="9.28515625" customWidth="1"/>
    <col min="6401" max="6401" width="5" customWidth="1"/>
    <col min="6402" max="6402" width="79.7109375" customWidth="1"/>
    <col min="6403" max="6403" width="20.5703125" customWidth="1"/>
    <col min="6406" max="6406" width="22" customWidth="1"/>
    <col min="6407" max="6407" width="18.5703125" customWidth="1"/>
    <col min="6408" max="6408" width="11.42578125" customWidth="1"/>
    <col min="6409" max="6410" width="9.28515625" customWidth="1"/>
    <col min="6657" max="6657" width="5" customWidth="1"/>
    <col min="6658" max="6658" width="79.7109375" customWidth="1"/>
    <col min="6659" max="6659" width="20.5703125" customWidth="1"/>
    <col min="6662" max="6662" width="22" customWidth="1"/>
    <col min="6663" max="6663" width="18.5703125" customWidth="1"/>
    <col min="6664" max="6664" width="11.42578125" customWidth="1"/>
    <col min="6665" max="6666" width="9.28515625" customWidth="1"/>
    <col min="6913" max="6913" width="5" customWidth="1"/>
    <col min="6914" max="6914" width="79.7109375" customWidth="1"/>
    <col min="6915" max="6915" width="20.5703125" customWidth="1"/>
    <col min="6918" max="6918" width="22" customWidth="1"/>
    <col min="6919" max="6919" width="18.5703125" customWidth="1"/>
    <col min="6920" max="6920" width="11.42578125" customWidth="1"/>
    <col min="6921" max="6922" width="9.28515625" customWidth="1"/>
    <col min="7169" max="7169" width="5" customWidth="1"/>
    <col min="7170" max="7170" width="79.7109375" customWidth="1"/>
    <col min="7171" max="7171" width="20.5703125" customWidth="1"/>
    <col min="7174" max="7174" width="22" customWidth="1"/>
    <col min="7175" max="7175" width="18.5703125" customWidth="1"/>
    <col min="7176" max="7176" width="11.42578125" customWidth="1"/>
    <col min="7177" max="7178" width="9.28515625" customWidth="1"/>
    <col min="7425" max="7425" width="5" customWidth="1"/>
    <col min="7426" max="7426" width="79.7109375" customWidth="1"/>
    <col min="7427" max="7427" width="20.5703125" customWidth="1"/>
    <col min="7430" max="7430" width="22" customWidth="1"/>
    <col min="7431" max="7431" width="18.5703125" customWidth="1"/>
    <col min="7432" max="7432" width="11.42578125" customWidth="1"/>
    <col min="7433" max="7434" width="9.28515625" customWidth="1"/>
    <col min="7681" max="7681" width="5" customWidth="1"/>
    <col min="7682" max="7682" width="79.7109375" customWidth="1"/>
    <col min="7683" max="7683" width="20.5703125" customWidth="1"/>
    <col min="7686" max="7686" width="22" customWidth="1"/>
    <col min="7687" max="7687" width="18.5703125" customWidth="1"/>
    <col min="7688" max="7688" width="11.42578125" customWidth="1"/>
    <col min="7689" max="7690" width="9.28515625" customWidth="1"/>
    <col min="7937" max="7937" width="5" customWidth="1"/>
    <col min="7938" max="7938" width="79.7109375" customWidth="1"/>
    <col min="7939" max="7939" width="20.5703125" customWidth="1"/>
    <col min="7942" max="7942" width="22" customWidth="1"/>
    <col min="7943" max="7943" width="18.5703125" customWidth="1"/>
    <col min="7944" max="7944" width="11.42578125" customWidth="1"/>
    <col min="7945" max="7946" width="9.28515625" customWidth="1"/>
    <col min="8193" max="8193" width="5" customWidth="1"/>
    <col min="8194" max="8194" width="79.7109375" customWidth="1"/>
    <col min="8195" max="8195" width="20.5703125" customWidth="1"/>
    <col min="8198" max="8198" width="22" customWidth="1"/>
    <col min="8199" max="8199" width="18.5703125" customWidth="1"/>
    <col min="8200" max="8200" width="11.42578125" customWidth="1"/>
    <col min="8201" max="8202" width="9.28515625" customWidth="1"/>
    <col min="8449" max="8449" width="5" customWidth="1"/>
    <col min="8450" max="8450" width="79.7109375" customWidth="1"/>
    <col min="8451" max="8451" width="20.5703125" customWidth="1"/>
    <col min="8454" max="8454" width="22" customWidth="1"/>
    <col min="8455" max="8455" width="18.5703125" customWidth="1"/>
    <col min="8456" max="8456" width="11.42578125" customWidth="1"/>
    <col min="8457" max="8458" width="9.28515625" customWidth="1"/>
    <col min="8705" max="8705" width="5" customWidth="1"/>
    <col min="8706" max="8706" width="79.7109375" customWidth="1"/>
    <col min="8707" max="8707" width="20.5703125" customWidth="1"/>
    <col min="8710" max="8710" width="22" customWidth="1"/>
    <col min="8711" max="8711" width="18.5703125" customWidth="1"/>
    <col min="8712" max="8712" width="11.42578125" customWidth="1"/>
    <col min="8713" max="8714" width="9.28515625" customWidth="1"/>
    <col min="8961" max="8961" width="5" customWidth="1"/>
    <col min="8962" max="8962" width="79.7109375" customWidth="1"/>
    <col min="8963" max="8963" width="20.5703125" customWidth="1"/>
    <col min="8966" max="8966" width="22" customWidth="1"/>
    <col min="8967" max="8967" width="18.5703125" customWidth="1"/>
    <col min="8968" max="8968" width="11.42578125" customWidth="1"/>
    <col min="8969" max="8970" width="9.28515625" customWidth="1"/>
    <col min="9217" max="9217" width="5" customWidth="1"/>
    <col min="9218" max="9218" width="79.7109375" customWidth="1"/>
    <col min="9219" max="9219" width="20.5703125" customWidth="1"/>
    <col min="9222" max="9222" width="22" customWidth="1"/>
    <col min="9223" max="9223" width="18.5703125" customWidth="1"/>
    <col min="9224" max="9224" width="11.42578125" customWidth="1"/>
    <col min="9225" max="9226" width="9.28515625" customWidth="1"/>
    <col min="9473" max="9473" width="5" customWidth="1"/>
    <col min="9474" max="9474" width="79.7109375" customWidth="1"/>
    <col min="9475" max="9475" width="20.5703125" customWidth="1"/>
    <col min="9478" max="9478" width="22" customWidth="1"/>
    <col min="9479" max="9479" width="18.5703125" customWidth="1"/>
    <col min="9480" max="9480" width="11.42578125" customWidth="1"/>
    <col min="9481" max="9482" width="9.28515625" customWidth="1"/>
    <col min="9729" max="9729" width="5" customWidth="1"/>
    <col min="9730" max="9730" width="79.7109375" customWidth="1"/>
    <col min="9731" max="9731" width="20.5703125" customWidth="1"/>
    <col min="9734" max="9734" width="22" customWidth="1"/>
    <col min="9735" max="9735" width="18.5703125" customWidth="1"/>
    <col min="9736" max="9736" width="11.42578125" customWidth="1"/>
    <col min="9737" max="9738" width="9.28515625" customWidth="1"/>
    <col min="9985" max="9985" width="5" customWidth="1"/>
    <col min="9986" max="9986" width="79.7109375" customWidth="1"/>
    <col min="9987" max="9987" width="20.5703125" customWidth="1"/>
    <col min="9990" max="9990" width="22" customWidth="1"/>
    <col min="9991" max="9991" width="18.5703125" customWidth="1"/>
    <col min="9992" max="9992" width="11.42578125" customWidth="1"/>
    <col min="9993" max="9994" width="9.28515625" customWidth="1"/>
    <col min="10241" max="10241" width="5" customWidth="1"/>
    <col min="10242" max="10242" width="79.7109375" customWidth="1"/>
    <col min="10243" max="10243" width="20.5703125" customWidth="1"/>
    <col min="10246" max="10246" width="22" customWidth="1"/>
    <col min="10247" max="10247" width="18.5703125" customWidth="1"/>
    <col min="10248" max="10248" width="11.42578125" customWidth="1"/>
    <col min="10249" max="10250" width="9.28515625" customWidth="1"/>
    <col min="10497" max="10497" width="5" customWidth="1"/>
    <col min="10498" max="10498" width="79.7109375" customWidth="1"/>
    <col min="10499" max="10499" width="20.5703125" customWidth="1"/>
    <col min="10502" max="10502" width="22" customWidth="1"/>
    <col min="10503" max="10503" width="18.5703125" customWidth="1"/>
    <col min="10504" max="10504" width="11.42578125" customWidth="1"/>
    <col min="10505" max="10506" width="9.28515625" customWidth="1"/>
    <col min="10753" max="10753" width="5" customWidth="1"/>
    <col min="10754" max="10754" width="79.7109375" customWidth="1"/>
    <col min="10755" max="10755" width="20.5703125" customWidth="1"/>
    <col min="10758" max="10758" width="22" customWidth="1"/>
    <col min="10759" max="10759" width="18.5703125" customWidth="1"/>
    <col min="10760" max="10760" width="11.42578125" customWidth="1"/>
    <col min="10761" max="10762" width="9.28515625" customWidth="1"/>
    <col min="11009" max="11009" width="5" customWidth="1"/>
    <col min="11010" max="11010" width="79.7109375" customWidth="1"/>
    <col min="11011" max="11011" width="20.5703125" customWidth="1"/>
    <col min="11014" max="11014" width="22" customWidth="1"/>
    <col min="11015" max="11015" width="18.5703125" customWidth="1"/>
    <col min="11016" max="11016" width="11.42578125" customWidth="1"/>
    <col min="11017" max="11018" width="9.28515625" customWidth="1"/>
    <col min="11265" max="11265" width="5" customWidth="1"/>
    <col min="11266" max="11266" width="79.7109375" customWidth="1"/>
    <col min="11267" max="11267" width="20.5703125" customWidth="1"/>
    <col min="11270" max="11270" width="22" customWidth="1"/>
    <col min="11271" max="11271" width="18.5703125" customWidth="1"/>
    <col min="11272" max="11272" width="11.42578125" customWidth="1"/>
    <col min="11273" max="11274" width="9.28515625" customWidth="1"/>
    <col min="11521" max="11521" width="5" customWidth="1"/>
    <col min="11522" max="11522" width="79.7109375" customWidth="1"/>
    <col min="11523" max="11523" width="20.5703125" customWidth="1"/>
    <col min="11526" max="11526" width="22" customWidth="1"/>
    <col min="11527" max="11527" width="18.5703125" customWidth="1"/>
    <col min="11528" max="11528" width="11.42578125" customWidth="1"/>
    <col min="11529" max="11530" width="9.28515625" customWidth="1"/>
    <col min="11777" max="11777" width="5" customWidth="1"/>
    <col min="11778" max="11778" width="79.7109375" customWidth="1"/>
    <col min="11779" max="11779" width="20.5703125" customWidth="1"/>
    <col min="11782" max="11782" width="22" customWidth="1"/>
    <col min="11783" max="11783" width="18.5703125" customWidth="1"/>
    <col min="11784" max="11784" width="11.42578125" customWidth="1"/>
    <col min="11785" max="11786" width="9.28515625" customWidth="1"/>
    <col min="12033" max="12033" width="5" customWidth="1"/>
    <col min="12034" max="12034" width="79.7109375" customWidth="1"/>
    <col min="12035" max="12035" width="20.5703125" customWidth="1"/>
    <col min="12038" max="12038" width="22" customWidth="1"/>
    <col min="12039" max="12039" width="18.5703125" customWidth="1"/>
    <col min="12040" max="12040" width="11.42578125" customWidth="1"/>
    <col min="12041" max="12042" width="9.28515625" customWidth="1"/>
    <col min="12289" max="12289" width="5" customWidth="1"/>
    <col min="12290" max="12290" width="79.7109375" customWidth="1"/>
    <col min="12291" max="12291" width="20.5703125" customWidth="1"/>
    <col min="12294" max="12294" width="22" customWidth="1"/>
    <col min="12295" max="12295" width="18.5703125" customWidth="1"/>
    <col min="12296" max="12296" width="11.42578125" customWidth="1"/>
    <col min="12297" max="12298" width="9.28515625" customWidth="1"/>
    <col min="12545" max="12545" width="5" customWidth="1"/>
    <col min="12546" max="12546" width="79.7109375" customWidth="1"/>
    <col min="12547" max="12547" width="20.5703125" customWidth="1"/>
    <col min="12550" max="12550" width="22" customWidth="1"/>
    <col min="12551" max="12551" width="18.5703125" customWidth="1"/>
    <col min="12552" max="12552" width="11.42578125" customWidth="1"/>
    <col min="12553" max="12554" width="9.28515625" customWidth="1"/>
    <col min="12801" max="12801" width="5" customWidth="1"/>
    <col min="12802" max="12802" width="79.7109375" customWidth="1"/>
    <col min="12803" max="12803" width="20.5703125" customWidth="1"/>
    <col min="12806" max="12806" width="22" customWidth="1"/>
    <col min="12807" max="12807" width="18.5703125" customWidth="1"/>
    <col min="12808" max="12808" width="11.42578125" customWidth="1"/>
    <col min="12809" max="12810" width="9.28515625" customWidth="1"/>
    <col min="13057" max="13057" width="5" customWidth="1"/>
    <col min="13058" max="13058" width="79.7109375" customWidth="1"/>
    <col min="13059" max="13059" width="20.5703125" customWidth="1"/>
    <col min="13062" max="13062" width="22" customWidth="1"/>
    <col min="13063" max="13063" width="18.5703125" customWidth="1"/>
    <col min="13064" max="13064" width="11.42578125" customWidth="1"/>
    <col min="13065" max="13066" width="9.28515625" customWidth="1"/>
    <col min="13313" max="13313" width="5" customWidth="1"/>
    <col min="13314" max="13314" width="79.7109375" customWidth="1"/>
    <col min="13315" max="13315" width="20.5703125" customWidth="1"/>
    <col min="13318" max="13318" width="22" customWidth="1"/>
    <col min="13319" max="13319" width="18.5703125" customWidth="1"/>
    <col min="13320" max="13320" width="11.42578125" customWidth="1"/>
    <col min="13321" max="13322" width="9.28515625" customWidth="1"/>
    <col min="13569" max="13569" width="5" customWidth="1"/>
    <col min="13570" max="13570" width="79.7109375" customWidth="1"/>
    <col min="13571" max="13571" width="20.5703125" customWidth="1"/>
    <col min="13574" max="13574" width="22" customWidth="1"/>
    <col min="13575" max="13575" width="18.5703125" customWidth="1"/>
    <col min="13576" max="13576" width="11.42578125" customWidth="1"/>
    <col min="13577" max="13578" width="9.28515625" customWidth="1"/>
    <col min="13825" max="13825" width="5" customWidth="1"/>
    <col min="13826" max="13826" width="79.7109375" customWidth="1"/>
    <col min="13827" max="13827" width="20.5703125" customWidth="1"/>
    <col min="13830" max="13830" width="22" customWidth="1"/>
    <col min="13831" max="13831" width="18.5703125" customWidth="1"/>
    <col min="13832" max="13832" width="11.42578125" customWidth="1"/>
    <col min="13833" max="13834" width="9.28515625" customWidth="1"/>
    <col min="14081" max="14081" width="5" customWidth="1"/>
    <col min="14082" max="14082" width="79.7109375" customWidth="1"/>
    <col min="14083" max="14083" width="20.5703125" customWidth="1"/>
    <col min="14086" max="14086" width="22" customWidth="1"/>
    <col min="14087" max="14087" width="18.5703125" customWidth="1"/>
    <col min="14088" max="14088" width="11.42578125" customWidth="1"/>
    <col min="14089" max="14090" width="9.28515625" customWidth="1"/>
    <col min="14337" max="14337" width="5" customWidth="1"/>
    <col min="14338" max="14338" width="79.7109375" customWidth="1"/>
    <col min="14339" max="14339" width="20.5703125" customWidth="1"/>
    <col min="14342" max="14342" width="22" customWidth="1"/>
    <col min="14343" max="14343" width="18.5703125" customWidth="1"/>
    <col min="14344" max="14344" width="11.42578125" customWidth="1"/>
    <col min="14345" max="14346" width="9.28515625" customWidth="1"/>
    <col min="14593" max="14593" width="5" customWidth="1"/>
    <col min="14594" max="14594" width="79.7109375" customWidth="1"/>
    <col min="14595" max="14595" width="20.5703125" customWidth="1"/>
    <col min="14598" max="14598" width="22" customWidth="1"/>
    <col min="14599" max="14599" width="18.5703125" customWidth="1"/>
    <col min="14600" max="14600" width="11.42578125" customWidth="1"/>
    <col min="14601" max="14602" width="9.28515625" customWidth="1"/>
    <col min="14849" max="14849" width="5" customWidth="1"/>
    <col min="14850" max="14850" width="79.7109375" customWidth="1"/>
    <col min="14851" max="14851" width="20.5703125" customWidth="1"/>
    <col min="14854" max="14854" width="22" customWidth="1"/>
    <col min="14855" max="14855" width="18.5703125" customWidth="1"/>
    <col min="14856" max="14856" width="11.42578125" customWidth="1"/>
    <col min="14857" max="14858" width="9.28515625" customWidth="1"/>
    <col min="15105" max="15105" width="5" customWidth="1"/>
    <col min="15106" max="15106" width="79.7109375" customWidth="1"/>
    <col min="15107" max="15107" width="20.5703125" customWidth="1"/>
    <col min="15110" max="15110" width="22" customWidth="1"/>
    <col min="15111" max="15111" width="18.5703125" customWidth="1"/>
    <col min="15112" max="15112" width="11.42578125" customWidth="1"/>
    <col min="15113" max="15114" width="9.28515625" customWidth="1"/>
    <col min="15361" max="15361" width="5" customWidth="1"/>
    <col min="15362" max="15362" width="79.7109375" customWidth="1"/>
    <col min="15363" max="15363" width="20.5703125" customWidth="1"/>
    <col min="15366" max="15366" width="22" customWidth="1"/>
    <col min="15367" max="15367" width="18.5703125" customWidth="1"/>
    <col min="15368" max="15368" width="11.42578125" customWidth="1"/>
    <col min="15369" max="15370" width="9.28515625" customWidth="1"/>
    <col min="15617" max="15617" width="5" customWidth="1"/>
    <col min="15618" max="15618" width="79.7109375" customWidth="1"/>
    <col min="15619" max="15619" width="20.5703125" customWidth="1"/>
    <col min="15622" max="15622" width="22" customWidth="1"/>
    <col min="15623" max="15623" width="18.5703125" customWidth="1"/>
    <col min="15624" max="15624" width="11.42578125" customWidth="1"/>
    <col min="15625" max="15626" width="9.28515625" customWidth="1"/>
    <col min="15873" max="15873" width="5" customWidth="1"/>
    <col min="15874" max="15874" width="79.7109375" customWidth="1"/>
    <col min="15875" max="15875" width="20.5703125" customWidth="1"/>
    <col min="15878" max="15878" width="22" customWidth="1"/>
    <col min="15879" max="15879" width="18.5703125" customWidth="1"/>
    <col min="15880" max="15880" width="11.42578125" customWidth="1"/>
    <col min="15881" max="15882" width="9.28515625" customWidth="1"/>
    <col min="16129" max="16129" width="5" customWidth="1"/>
    <col min="16130" max="16130" width="79.7109375" customWidth="1"/>
    <col min="16131" max="16131" width="20.5703125" customWidth="1"/>
    <col min="16134" max="16134" width="22" customWidth="1"/>
    <col min="16135" max="16135" width="18.5703125" customWidth="1"/>
    <col min="16136" max="16136" width="11.42578125" customWidth="1"/>
    <col min="16137" max="16138" width="9.28515625" customWidth="1"/>
  </cols>
  <sheetData>
    <row r="1" spans="1:10" ht="22.5" customHeight="1" x14ac:dyDescent="0.25">
      <c r="A1" s="244" t="s">
        <v>169</v>
      </c>
      <c r="B1" s="244"/>
      <c r="C1" s="244"/>
    </row>
    <row r="2" spans="1:10" ht="20.25" x14ac:dyDescent="0.3">
      <c r="A2" s="245" t="s">
        <v>33</v>
      </c>
      <c r="B2" s="245"/>
      <c r="C2" s="245"/>
    </row>
    <row r="4" spans="1:10" s="115" customFormat="1" ht="66" customHeight="1" x14ac:dyDescent="0.25">
      <c r="A4" s="246" t="s">
        <v>171</v>
      </c>
      <c r="B4" s="246"/>
      <c r="C4" s="246"/>
      <c r="F4" s="147"/>
      <c r="G4" s="147"/>
      <c r="J4" s="147"/>
    </row>
    <row r="5" spans="1:10" s="115" customFormat="1" ht="17.25" customHeight="1" x14ac:dyDescent="0.2">
      <c r="F5" s="147"/>
      <c r="G5" s="147"/>
      <c r="J5" s="147"/>
    </row>
    <row r="6" spans="1:10" s="115" customFormat="1" ht="15.75" thickBot="1" x14ac:dyDescent="0.25">
      <c r="F6" s="147"/>
      <c r="G6" s="147"/>
      <c r="J6" s="147"/>
    </row>
    <row r="7" spans="1:10" s="115" customFormat="1" ht="66.75" customHeight="1" thickBot="1" x14ac:dyDescent="0.25">
      <c r="A7" s="176" t="s">
        <v>0</v>
      </c>
      <c r="B7" s="177" t="s">
        <v>2</v>
      </c>
      <c r="C7" s="148" t="s">
        <v>170</v>
      </c>
      <c r="F7" s="147"/>
      <c r="G7" s="147"/>
      <c r="J7" s="147"/>
    </row>
    <row r="8" spans="1:10" s="115" customFormat="1" ht="60.6" customHeight="1" x14ac:dyDescent="0.2">
      <c r="A8" s="178" t="s">
        <v>24</v>
      </c>
      <c r="B8" s="179" t="s">
        <v>1</v>
      </c>
      <c r="C8" s="182">
        <f>'с. Балкански'!M6+'с. Благоево'!M6+'с. Гецово'!M6+'с. Дряновец'!M6+'с. Дянково'!M6+'с. Киченица'!M6+'с. Липник'!M6+'с. Мортагоново'!M6+'с. Недоклан'!M6+'с. Осенец'!M6+'с. Островче'!M6+'с. Побит камък'!M6+'с. Просторно'!M6+'с. Пороище'!M6+'с. Радинград'!M6+с.Раковски!M6+'с. Стражец'!M6+'с. Топчии'!M6+'с. Ушинци'!M6+'с. Черковна'!M6+'с. Ясеновец'!M6+'гр. Разград'!M6</f>
        <v>1574082.12</v>
      </c>
      <c r="F8" s="149"/>
      <c r="G8" s="149"/>
      <c r="J8" s="147"/>
    </row>
    <row r="9" spans="1:10" s="115" customFormat="1" ht="52.15" customHeight="1" x14ac:dyDescent="0.2">
      <c r="A9" s="180" t="s">
        <v>25</v>
      </c>
      <c r="B9" s="181" t="s">
        <v>6</v>
      </c>
      <c r="C9" s="186">
        <f>'с. Балкански'!M10+'с. Благоево'!M10+'с. Гецово'!M10+'с. Дряновец'!M10+'с. Дянково'!M10+'с. Киченица'!M10+'с. Липник'!M10+'с. Мортагоново'!M10+'с. Недоклан'!M10+'с. Осенец'!M10+'с. Островче'!M10+'с. Побит камък'!M10+'с. Просторно'!M10+'с. Пороище'!M10+'с. Радинград'!M10+с.Раковски!M10+'с. Стражец'!M10+'с. Топчии'!M10+'с. Ушинци'!M10+'с. Черковна'!M10+'с. Ясеновец'!M10+'гр. Разград'!M15</f>
        <v>3306183.62</v>
      </c>
      <c r="F9" s="149"/>
      <c r="G9" s="149"/>
      <c r="J9" s="147"/>
    </row>
    <row r="10" spans="1:10" s="115" customFormat="1" ht="66" customHeight="1" x14ac:dyDescent="0.2">
      <c r="A10" s="180" t="s">
        <v>26</v>
      </c>
      <c r="B10" s="181" t="s">
        <v>7</v>
      </c>
      <c r="C10" s="186">
        <f>'с. Балкански'!M14+'с. Благоево'!M14+'с. Гецово'!M14+'с. Дряновец'!M14+'с. Дянково'!M14+'с. Киченица'!M14+'с. Липник'!M14+'с. Мортагоново'!M14+'с. Недоклан'!M14+'с. Осенец'!M14+'с. Островче'!M14+'с. Побит камък'!M14+'с. Просторно'!M14+'с. Пороище'!M14+'с. Радинград'!M14+с.Раковски!M14+'с. Стражец'!M14+'с. Топчии'!M14+'с. Ушинци'!M14+'с. Черковна'!M14+'с. Ясеновец'!M14+'гр. Разград'!M19</f>
        <v>1229480.42</v>
      </c>
      <c r="F10" s="149"/>
      <c r="G10" s="149"/>
      <c r="J10" s="147"/>
    </row>
    <row r="11" spans="1:10" s="115" customFormat="1" ht="57.6" customHeight="1" thickBot="1" x14ac:dyDescent="0.25">
      <c r="A11" s="241" t="s">
        <v>36</v>
      </c>
      <c r="B11" s="242"/>
      <c r="C11" s="187">
        <f>SUM(C8:C10)</f>
        <v>6109746.1600000001</v>
      </c>
      <c r="F11" s="150"/>
      <c r="G11" s="149"/>
      <c r="J11" s="147"/>
    </row>
    <row r="13" spans="1:10" ht="22.5" customHeight="1" x14ac:dyDescent="0.25">
      <c r="A13" s="146"/>
      <c r="B13" s="151"/>
      <c r="C13" s="189"/>
      <c r="F13" s="152"/>
    </row>
    <row r="14" spans="1:10" x14ac:dyDescent="0.25">
      <c r="A14" s="153"/>
      <c r="B14" s="153"/>
      <c r="C14" s="154"/>
      <c r="D14" s="153"/>
      <c r="E14" s="153"/>
    </row>
    <row r="15" spans="1:10" s="153" customFormat="1" ht="18" x14ac:dyDescent="0.25">
      <c r="B15" s="155"/>
      <c r="C15" s="156"/>
      <c r="F15" s="146"/>
      <c r="G15" s="146"/>
      <c r="H15" s="145"/>
      <c r="I15" s="145"/>
      <c r="J15" s="146"/>
    </row>
    <row r="16" spans="1:10" s="153" customFormat="1" ht="12.75" x14ac:dyDescent="0.2">
      <c r="C16" s="154"/>
      <c r="F16" s="146"/>
      <c r="G16" s="146"/>
      <c r="H16" s="145"/>
      <c r="I16" s="145"/>
      <c r="J16" s="146"/>
    </row>
    <row r="17" spans="1:10" s="153" customFormat="1" ht="12.75" x14ac:dyDescent="0.2">
      <c r="C17" s="154"/>
      <c r="F17" s="146"/>
      <c r="G17" s="146"/>
      <c r="H17" s="145"/>
      <c r="I17" s="145"/>
      <c r="J17" s="146"/>
    </row>
    <row r="18" spans="1:10" s="153" customFormat="1" ht="12.75" x14ac:dyDescent="0.2">
      <c r="C18" s="154"/>
      <c r="F18" s="146"/>
      <c r="G18" s="146"/>
      <c r="H18" s="145"/>
      <c r="I18" s="145"/>
      <c r="J18" s="146"/>
    </row>
    <row r="19" spans="1:10" s="157" customFormat="1" ht="18" x14ac:dyDescent="0.25">
      <c r="B19" s="158"/>
      <c r="C19" s="159"/>
    </row>
    <row r="20" spans="1:10" s="157" customFormat="1" ht="18" x14ac:dyDescent="0.25">
      <c r="B20" s="158"/>
      <c r="C20" s="159"/>
    </row>
    <row r="21" spans="1:10" s="157" customFormat="1" ht="56.65" customHeight="1" x14ac:dyDescent="0.25">
      <c r="B21" s="243"/>
      <c r="C21" s="243"/>
    </row>
    <row r="22" spans="1:10" s="157" customFormat="1" ht="17.25" customHeight="1" x14ac:dyDescent="0.2">
      <c r="C22" s="160"/>
    </row>
    <row r="23" spans="1:10" s="157" customFormat="1" ht="18" x14ac:dyDescent="0.25">
      <c r="A23" s="158"/>
      <c r="B23" s="161"/>
      <c r="C23" s="162"/>
    </row>
    <row r="24" spans="1:10" s="157" customFormat="1" ht="18.75" x14ac:dyDescent="0.25">
      <c r="A24" s="158"/>
      <c r="B24" s="163"/>
      <c r="C24" s="164"/>
    </row>
    <row r="25" spans="1:10" s="157" customFormat="1" ht="18.75" x14ac:dyDescent="0.25">
      <c r="A25" s="158"/>
      <c r="B25" s="163"/>
      <c r="C25" s="164"/>
    </row>
    <row r="26" spans="1:10" s="157" customFormat="1" ht="38.25" customHeight="1" x14ac:dyDescent="0.25">
      <c r="A26" s="158"/>
      <c r="B26" s="161"/>
      <c r="C26" s="162"/>
    </row>
    <row r="27" spans="1:10" s="157" customFormat="1" ht="36.75" customHeight="1" x14ac:dyDescent="0.25">
      <c r="A27" s="158"/>
      <c r="B27" s="161"/>
      <c r="C27" s="162"/>
      <c r="F27" s="165"/>
    </row>
    <row r="28" spans="1:10" s="157" customFormat="1" ht="36" customHeight="1" x14ac:dyDescent="0.25">
      <c r="A28" s="158"/>
      <c r="B28" s="166"/>
      <c r="C28" s="162"/>
    </row>
    <row r="29" spans="1:10" s="157" customFormat="1" ht="18" x14ac:dyDescent="0.25">
      <c r="A29" s="158"/>
      <c r="B29" s="161"/>
      <c r="C29" s="162"/>
    </row>
    <row r="30" spans="1:10" s="157" customFormat="1" ht="18" x14ac:dyDescent="0.25">
      <c r="A30" s="158"/>
      <c r="B30" s="167"/>
      <c r="C30" s="162"/>
    </row>
    <row r="31" spans="1:10" s="157" customFormat="1" ht="36" customHeight="1" x14ac:dyDescent="0.25">
      <c r="A31" s="158"/>
      <c r="B31" s="161"/>
      <c r="C31" s="162"/>
    </row>
    <row r="32" spans="1:10" s="157" customFormat="1" ht="36" customHeight="1" x14ac:dyDescent="0.25">
      <c r="A32" s="158"/>
      <c r="B32" s="161"/>
      <c r="C32" s="162"/>
    </row>
    <row r="33" spans="1:7" s="157" customFormat="1" ht="42.4" customHeight="1" x14ac:dyDescent="0.25">
      <c r="A33" s="158"/>
      <c r="B33" s="161"/>
      <c r="C33" s="162"/>
    </row>
    <row r="34" spans="1:7" s="157" customFormat="1" ht="18" x14ac:dyDescent="0.25">
      <c r="A34" s="158"/>
      <c r="B34" s="161"/>
      <c r="C34" s="162"/>
      <c r="F34" s="168"/>
    </row>
    <row r="35" spans="1:7" s="157" customFormat="1" ht="18.75" x14ac:dyDescent="0.25">
      <c r="A35" s="158"/>
      <c r="B35" s="169"/>
      <c r="C35" s="164"/>
    </row>
    <row r="36" spans="1:7" s="157" customFormat="1" ht="18.75" x14ac:dyDescent="0.25">
      <c r="A36" s="158"/>
      <c r="B36" s="169"/>
      <c r="C36" s="164"/>
    </row>
    <row r="37" spans="1:7" s="157" customFormat="1" ht="36" customHeight="1" x14ac:dyDescent="0.25">
      <c r="A37" s="158"/>
      <c r="B37" s="170"/>
      <c r="C37" s="171"/>
      <c r="F37" s="168"/>
    </row>
    <row r="38" spans="1:7" s="157" customFormat="1" ht="18" x14ac:dyDescent="0.25">
      <c r="A38" s="158"/>
      <c r="B38" s="158"/>
      <c r="C38" s="172"/>
    </row>
    <row r="39" spans="1:7" s="175" customFormat="1" x14ac:dyDescent="0.2">
      <c r="A39" s="173"/>
      <c r="B39" s="173"/>
      <c r="C39" s="174"/>
      <c r="F39" s="157"/>
      <c r="G39" s="157"/>
    </row>
    <row r="40" spans="1:7" s="175" customFormat="1" x14ac:dyDescent="0.2">
      <c r="A40" s="173"/>
      <c r="B40" s="173"/>
      <c r="C40" s="174"/>
      <c r="F40" s="157"/>
      <c r="G40" s="157"/>
    </row>
    <row r="41" spans="1:7" s="157" customFormat="1" ht="12.75" x14ac:dyDescent="0.2"/>
    <row r="42" spans="1:7" s="157" customFormat="1" ht="12.75" x14ac:dyDescent="0.2"/>
    <row r="43" spans="1:7" s="157" customFormat="1" ht="12.75" x14ac:dyDescent="0.2"/>
    <row r="44" spans="1:7" s="157" customFormat="1" ht="12.75" x14ac:dyDescent="0.2"/>
    <row r="45" spans="1:7" s="157" customFormat="1" ht="12.75" x14ac:dyDescent="0.2"/>
    <row r="46" spans="1:7" s="157" customFormat="1" ht="12.75" x14ac:dyDescent="0.2"/>
    <row r="47" spans="1:7" s="146" customFormat="1" ht="12.75" x14ac:dyDescent="0.2"/>
    <row r="48" spans="1:7" s="146" customFormat="1" ht="12.75" x14ac:dyDescent="0.2"/>
    <row r="49" s="146" customFormat="1" ht="12.75" x14ac:dyDescent="0.2"/>
    <row r="50" s="146" customFormat="1" ht="12.75" x14ac:dyDescent="0.2"/>
    <row r="51" s="146" customFormat="1" ht="12.75" x14ac:dyDescent="0.2"/>
    <row r="52" s="146" customFormat="1" ht="12.75" x14ac:dyDescent="0.2"/>
    <row r="53" s="146" customFormat="1" ht="12.75" x14ac:dyDescent="0.2"/>
    <row r="54" s="146" customFormat="1" ht="12.75" x14ac:dyDescent="0.2"/>
    <row r="55" s="146" customFormat="1" ht="12.75" x14ac:dyDescent="0.2"/>
    <row r="56" s="146" customFormat="1" ht="12.75" x14ac:dyDescent="0.2"/>
    <row r="57" s="146" customFormat="1" ht="12.75" x14ac:dyDescent="0.2"/>
    <row r="58" s="146" customFormat="1" ht="12.75" x14ac:dyDescent="0.2"/>
    <row r="59" s="146" customFormat="1" ht="12.75" x14ac:dyDescent="0.2"/>
    <row r="60" s="146" customFormat="1" ht="12.75" x14ac:dyDescent="0.2"/>
    <row r="61" s="146" customFormat="1" ht="12.75" x14ac:dyDescent="0.2"/>
    <row r="62" s="146" customFormat="1" ht="12.75" x14ac:dyDescent="0.2"/>
    <row r="63" s="146" customFormat="1" ht="12.75" x14ac:dyDescent="0.2"/>
    <row r="64" s="146" customFormat="1" ht="12.75" x14ac:dyDescent="0.2"/>
    <row r="65" s="146" customFormat="1" ht="12.75" x14ac:dyDescent="0.2"/>
    <row r="66" s="146" customFormat="1" ht="12.75" x14ac:dyDescent="0.2"/>
    <row r="67" s="146" customFormat="1" ht="12.75" x14ac:dyDescent="0.2"/>
    <row r="68" s="146" customFormat="1" ht="12.75" x14ac:dyDescent="0.2"/>
    <row r="69" s="146" customFormat="1" ht="12.75" x14ac:dyDescent="0.2"/>
    <row r="70" s="146" customFormat="1" ht="12.75" x14ac:dyDescent="0.2"/>
    <row r="71" s="146" customFormat="1" ht="12.75" x14ac:dyDescent="0.2"/>
    <row r="72" s="146" customFormat="1" ht="12.75" x14ac:dyDescent="0.2"/>
    <row r="73" s="146" customFormat="1" ht="12.75" x14ac:dyDescent="0.2"/>
  </sheetData>
  <mergeCells count="5">
    <mergeCell ref="A11:B11"/>
    <mergeCell ref="B21:C21"/>
    <mergeCell ref="A1:C1"/>
    <mergeCell ref="A2:C2"/>
    <mergeCell ref="A4:C4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58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57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3849.2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15</v>
      </c>
      <c r="D7" s="106">
        <v>28</v>
      </c>
      <c r="E7" s="68">
        <v>8.16</v>
      </c>
      <c r="F7" s="13">
        <v>0</v>
      </c>
      <c r="G7" s="14">
        <f>(C7*D7*E7)+F7</f>
        <v>3427.2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6</v>
      </c>
      <c r="J8" s="58">
        <v>37</v>
      </c>
      <c r="K8" s="13">
        <v>0</v>
      </c>
      <c r="L8" s="15">
        <f t="shared" ref="L8:L9" si="1">(H8*I8*J8)+K8</f>
        <v>222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12724.8</v>
      </c>
      <c r="N10" s="252" t="s">
        <v>37</v>
      </c>
    </row>
    <row r="11" spans="1:15" ht="48" customHeight="1" x14ac:dyDescent="0.25">
      <c r="A11" s="2" t="s">
        <v>3</v>
      </c>
      <c r="B11" s="5" t="s">
        <v>174</v>
      </c>
      <c r="C11" s="61">
        <f>C7*D7*0.21133</f>
        <v>88.76</v>
      </c>
      <c r="D11" s="58">
        <v>15.96</v>
      </c>
      <c r="E11" s="13">
        <v>0</v>
      </c>
      <c r="F11" s="13">
        <v>0</v>
      </c>
      <c r="G11" s="15">
        <f>C11*D11</f>
        <v>1416.61</v>
      </c>
      <c r="H11" s="60">
        <f>C11</f>
        <v>88.76</v>
      </c>
      <c r="I11" s="36"/>
      <c r="J11" s="59">
        <v>98.86</v>
      </c>
      <c r="K11" s="47">
        <v>0</v>
      </c>
      <c r="L11" s="15">
        <f>H11*J11</f>
        <v>8774.81</v>
      </c>
      <c r="M11" s="184"/>
      <c r="N11" s="253"/>
    </row>
    <row r="12" spans="1:15" ht="45" customHeight="1" x14ac:dyDescent="0.25">
      <c r="A12" s="11" t="s">
        <v>4</v>
      </c>
      <c r="B12" s="5" t="s">
        <v>175</v>
      </c>
      <c r="C12" s="195">
        <f>H8*I8*1.5</f>
        <v>9</v>
      </c>
      <c r="D12" s="58">
        <v>15.96</v>
      </c>
      <c r="E12" s="13">
        <v>0</v>
      </c>
      <c r="F12" s="13">
        <v>0</v>
      </c>
      <c r="G12" s="15">
        <f>C12*D12</f>
        <v>143.63999999999999</v>
      </c>
      <c r="H12" s="197">
        <f>C12</f>
        <v>9</v>
      </c>
      <c r="I12" s="198"/>
      <c r="J12" s="59">
        <v>98.86</v>
      </c>
      <c r="K12" s="47">
        <v>0</v>
      </c>
      <c r="L12" s="15">
        <f>H12*J12</f>
        <v>889.74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7154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10</v>
      </c>
      <c r="D15" s="62">
        <v>528</v>
      </c>
      <c r="E15" s="43">
        <v>2.5000000000000001E-2</v>
      </c>
      <c r="F15" s="43">
        <v>8</v>
      </c>
      <c r="G15" s="14">
        <f>C15*D15*E15*F15</f>
        <v>1056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5898</v>
      </c>
      <c r="L16" s="46">
        <f t="shared" si="2"/>
        <v>5898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6043.45</v>
      </c>
      <c r="H19" s="49"/>
      <c r="I19" s="49"/>
      <c r="J19" s="49"/>
      <c r="K19" s="49"/>
      <c r="L19" s="50">
        <f>L7+L8+L9+L11+L12+L13+L15+L16+L17+L18</f>
        <v>17684.55</v>
      </c>
      <c r="M19" s="188">
        <f>M6+M10+M14</f>
        <v>23728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59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60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25733.599999999999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70</v>
      </c>
      <c r="D7" s="106">
        <v>36</v>
      </c>
      <c r="E7" s="68">
        <v>9.7799999999999994</v>
      </c>
      <c r="F7" s="13">
        <v>0</v>
      </c>
      <c r="G7" s="14">
        <f>(C7*D7*E7)+F7</f>
        <v>24645.599999999999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12</v>
      </c>
      <c r="J8" s="58">
        <v>37</v>
      </c>
      <c r="K8" s="13">
        <v>0</v>
      </c>
      <c r="L8" s="15">
        <f t="shared" ref="L8:L9" si="1">(H8*I8*J8)+K8</f>
        <v>888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37833.64</v>
      </c>
      <c r="N10" s="252" t="s">
        <v>37</v>
      </c>
    </row>
    <row r="11" spans="1:15" ht="47.45" customHeight="1" x14ac:dyDescent="0.25">
      <c r="A11" s="2" t="s">
        <v>3</v>
      </c>
      <c r="B11" s="5" t="s">
        <v>174</v>
      </c>
      <c r="C11" s="61">
        <f>C7*D7*0.111285</f>
        <v>280.44</v>
      </c>
      <c r="D11" s="58">
        <v>15.96</v>
      </c>
      <c r="E11" s="13">
        <v>0</v>
      </c>
      <c r="F11" s="13">
        <v>0</v>
      </c>
      <c r="G11" s="15">
        <f>C11*D11</f>
        <v>4475.82</v>
      </c>
      <c r="H11" s="60">
        <f>C11</f>
        <v>280.44</v>
      </c>
      <c r="I11" s="36"/>
      <c r="J11" s="59">
        <v>98.86</v>
      </c>
      <c r="K11" s="47">
        <v>0</v>
      </c>
      <c r="L11" s="15">
        <f>H11*J11</f>
        <v>27724.3</v>
      </c>
      <c r="M11" s="184"/>
      <c r="N11" s="253"/>
    </row>
    <row r="12" spans="1:15" ht="45" customHeight="1" x14ac:dyDescent="0.25">
      <c r="A12" s="11" t="s">
        <v>4</v>
      </c>
      <c r="B12" s="5" t="s">
        <v>175</v>
      </c>
      <c r="C12" s="195">
        <f>H8*I8*1.5</f>
        <v>36</v>
      </c>
      <c r="D12" s="58">
        <v>15.96</v>
      </c>
      <c r="E12" s="13">
        <v>0</v>
      </c>
      <c r="F12" s="13">
        <v>0</v>
      </c>
      <c r="G12" s="15">
        <f>C12*D12</f>
        <v>574.55999999999995</v>
      </c>
      <c r="H12" s="197">
        <f>C12</f>
        <v>36</v>
      </c>
      <c r="I12" s="198"/>
      <c r="J12" s="59">
        <v>98.86</v>
      </c>
      <c r="K12" s="47">
        <v>0</v>
      </c>
      <c r="L12" s="15">
        <f>H12*J12</f>
        <v>3558.96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10603.4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34</v>
      </c>
      <c r="D15" s="62">
        <v>528</v>
      </c>
      <c r="E15" s="43">
        <v>2.5000000000000001E-2</v>
      </c>
      <c r="F15" s="43">
        <v>8</v>
      </c>
      <c r="G15" s="14">
        <f>C15*D15*E15*F15</f>
        <v>3590.4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6813</v>
      </c>
      <c r="L16" s="46">
        <f t="shared" si="2"/>
        <v>6813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33286.379999999997</v>
      </c>
      <c r="H19" s="49"/>
      <c r="I19" s="49"/>
      <c r="J19" s="49"/>
      <c r="K19" s="49"/>
      <c r="L19" s="50">
        <f>L7+L8+L9+L11+L12+L13+L15+L16+L17+L18</f>
        <v>40884.26</v>
      </c>
      <c r="M19" s="188">
        <f>M6+M10+M14</f>
        <v>74170.64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61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62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9621.56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28</v>
      </c>
      <c r="D7" s="106">
        <v>34</v>
      </c>
      <c r="E7" s="68">
        <v>9.7799999999999994</v>
      </c>
      <c r="F7" s="13">
        <v>0</v>
      </c>
      <c r="G7" s="14">
        <f>(C7*D7*E7)+F7</f>
        <v>9310.56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3</v>
      </c>
      <c r="J8" s="58">
        <v>37</v>
      </c>
      <c r="K8" s="13">
        <v>0</v>
      </c>
      <c r="L8" s="15">
        <f t="shared" ref="L8:L9" si="1">(H8*I8*J8)+K8</f>
        <v>111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15712.42</v>
      </c>
      <c r="N10" s="252" t="s">
        <v>37</v>
      </c>
    </row>
    <row r="11" spans="1:15" ht="46.9" customHeight="1" x14ac:dyDescent="0.25">
      <c r="A11" s="2" t="s">
        <v>3</v>
      </c>
      <c r="B11" s="5" t="s">
        <v>174</v>
      </c>
      <c r="C11" s="61">
        <f>C7*D7*0.125294</f>
        <v>119.28</v>
      </c>
      <c r="D11" s="58">
        <v>15.96</v>
      </c>
      <c r="E11" s="13">
        <v>0</v>
      </c>
      <c r="F11" s="13">
        <v>0</v>
      </c>
      <c r="G11" s="15">
        <f>C11*D11</f>
        <v>1903.71</v>
      </c>
      <c r="H11" s="60">
        <f>C11</f>
        <v>119.28</v>
      </c>
      <c r="I11" s="36"/>
      <c r="J11" s="59">
        <v>98.86</v>
      </c>
      <c r="K11" s="47">
        <v>0</v>
      </c>
      <c r="L11" s="15">
        <f>H11*J11</f>
        <v>11792.02</v>
      </c>
      <c r="M11" s="184"/>
      <c r="N11" s="253"/>
    </row>
    <row r="12" spans="1:15" ht="45" customHeight="1" x14ac:dyDescent="0.25">
      <c r="A12" s="11" t="s">
        <v>4</v>
      </c>
      <c r="B12" s="5" t="s">
        <v>175</v>
      </c>
      <c r="C12" s="195">
        <f>H8*I8*1.5</f>
        <v>4.5</v>
      </c>
      <c r="D12" s="58">
        <v>15.96</v>
      </c>
      <c r="E12" s="13">
        <v>0</v>
      </c>
      <c r="F12" s="13">
        <v>0</v>
      </c>
      <c r="G12" s="15">
        <f>C12*D12</f>
        <v>71.819999999999993</v>
      </c>
      <c r="H12" s="197">
        <f>C12</f>
        <v>4.5</v>
      </c>
      <c r="I12" s="198"/>
      <c r="J12" s="59">
        <v>98.86</v>
      </c>
      <c r="K12" s="47">
        <v>0</v>
      </c>
      <c r="L12" s="15">
        <f>H12*J12</f>
        <v>444.87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7612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10</v>
      </c>
      <c r="D15" s="62">
        <v>528</v>
      </c>
      <c r="E15" s="43">
        <v>2.5000000000000001E-2</v>
      </c>
      <c r="F15" s="43">
        <v>8</v>
      </c>
      <c r="G15" s="14">
        <f>C15*D15*E15*F15</f>
        <v>1056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6356</v>
      </c>
      <c r="L16" s="46">
        <f t="shared" si="2"/>
        <v>6356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12342.09</v>
      </c>
      <c r="H19" s="49"/>
      <c r="I19" s="49"/>
      <c r="J19" s="49"/>
      <c r="K19" s="49"/>
      <c r="L19" s="50">
        <f>L7+L8+L9+L11+L12+L13+L15+L16+L17+L18</f>
        <v>20603.89</v>
      </c>
      <c r="M19" s="188">
        <f>M6+M10+M14</f>
        <v>32945.980000000003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63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6812.96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21</v>
      </c>
      <c r="D7" s="106">
        <v>36</v>
      </c>
      <c r="E7" s="68">
        <v>8.16</v>
      </c>
      <c r="F7" s="13">
        <v>0</v>
      </c>
      <c r="G7" s="14">
        <f>(C7*D7*E7)+F7</f>
        <v>6168.96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6</v>
      </c>
      <c r="J8" s="58">
        <v>37</v>
      </c>
      <c r="K8" s="13">
        <v>0</v>
      </c>
      <c r="L8" s="15">
        <f t="shared" ref="L8:L9" si="1">(H8*I8*J8)+K8</f>
        <v>444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15570.04</v>
      </c>
      <c r="N10" s="252" t="s">
        <v>37</v>
      </c>
    </row>
    <row r="11" spans="1:15" ht="43.15" customHeight="1" x14ac:dyDescent="0.25">
      <c r="A11" s="2" t="s">
        <v>3</v>
      </c>
      <c r="B11" s="5" t="s">
        <v>174</v>
      </c>
      <c r="C11" s="61">
        <f>C7*D7*0.13828</f>
        <v>104.54</v>
      </c>
      <c r="D11" s="58">
        <v>15.96</v>
      </c>
      <c r="E11" s="13">
        <v>0</v>
      </c>
      <c r="F11" s="13">
        <v>0</v>
      </c>
      <c r="G11" s="15">
        <f>C11*D11</f>
        <v>1668.46</v>
      </c>
      <c r="H11" s="60">
        <f>C11</f>
        <v>104.54</v>
      </c>
      <c r="I11" s="36"/>
      <c r="J11" s="59">
        <v>98.86</v>
      </c>
      <c r="K11" s="47">
        <v>0</v>
      </c>
      <c r="L11" s="15">
        <f>H11*J11</f>
        <v>10334.82</v>
      </c>
      <c r="M11" s="184"/>
      <c r="N11" s="253"/>
    </row>
    <row r="12" spans="1:15" ht="49.9" customHeight="1" x14ac:dyDescent="0.25">
      <c r="A12" s="11" t="s">
        <v>4</v>
      </c>
      <c r="B12" s="5" t="s">
        <v>175</v>
      </c>
      <c r="C12" s="195">
        <f>H8*I8*1.5</f>
        <v>18</v>
      </c>
      <c r="D12" s="58">
        <v>15.96</v>
      </c>
      <c r="E12" s="13">
        <v>0</v>
      </c>
      <c r="F12" s="13">
        <v>0</v>
      </c>
      <c r="G12" s="15">
        <f>C12*D12</f>
        <v>287.27999999999997</v>
      </c>
      <c r="H12" s="197">
        <f>C12</f>
        <v>18</v>
      </c>
      <c r="I12" s="198"/>
      <c r="J12" s="59">
        <v>98.86</v>
      </c>
      <c r="K12" s="47">
        <v>0</v>
      </c>
      <c r="L12" s="15">
        <f>H12*J12</f>
        <v>1779.48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8669.7999999999993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23</v>
      </c>
      <c r="D15" s="62">
        <v>528</v>
      </c>
      <c r="E15" s="43">
        <v>2.5000000000000001E-2</v>
      </c>
      <c r="F15" s="43">
        <v>8</v>
      </c>
      <c r="G15" s="14">
        <f>C15*D15*E15*F15</f>
        <v>2428.8000000000002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6041</v>
      </c>
      <c r="L16" s="46">
        <f t="shared" si="2"/>
        <v>6041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10553.5</v>
      </c>
      <c r="H19" s="49"/>
      <c r="I19" s="49"/>
      <c r="J19" s="49"/>
      <c r="K19" s="49"/>
      <c r="L19" s="50">
        <f>L7+L8+L9+L11+L12+L13+L15+L16+L17+L18</f>
        <v>20499.3</v>
      </c>
      <c r="M19" s="188">
        <f>M6+M10+M14</f>
        <v>31052.799999999999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65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66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5657.6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20</v>
      </c>
      <c r="D7" s="106">
        <v>28</v>
      </c>
      <c r="E7" s="68">
        <v>8.16</v>
      </c>
      <c r="F7" s="13">
        <v>0</v>
      </c>
      <c r="G7" s="14">
        <f>(C7*D7*E7)+F7</f>
        <v>4569.6000000000004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12</v>
      </c>
      <c r="J8" s="58">
        <v>37</v>
      </c>
      <c r="K8" s="13">
        <v>0</v>
      </c>
      <c r="L8" s="15">
        <f t="shared" ref="L8:L9" si="1">(H8*I8*J8)+K8</f>
        <v>888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14196.8</v>
      </c>
      <c r="N10" s="252" t="s">
        <v>37</v>
      </c>
    </row>
    <row r="11" spans="1:15" ht="47.45" customHeight="1" x14ac:dyDescent="0.25">
      <c r="A11" s="2" t="s">
        <v>3</v>
      </c>
      <c r="B11" s="3" t="s">
        <v>174</v>
      </c>
      <c r="C11" s="61">
        <f>C7*D7*0.13317</f>
        <v>74.58</v>
      </c>
      <c r="D11" s="58">
        <v>15.96</v>
      </c>
      <c r="E11" s="13">
        <v>0</v>
      </c>
      <c r="F11" s="13">
        <v>0</v>
      </c>
      <c r="G11" s="15">
        <f>C11*D11</f>
        <v>1190.3</v>
      </c>
      <c r="H11" s="60">
        <f>C11</f>
        <v>74.58</v>
      </c>
      <c r="I11" s="36"/>
      <c r="J11" s="59">
        <v>98.86</v>
      </c>
      <c r="K11" s="47">
        <v>0</v>
      </c>
      <c r="L11" s="15">
        <f>H11*J11</f>
        <v>7372.98</v>
      </c>
      <c r="M11" s="184"/>
      <c r="N11" s="253"/>
    </row>
    <row r="12" spans="1:15" ht="48" customHeight="1" x14ac:dyDescent="0.25">
      <c r="A12" s="11" t="s">
        <v>4</v>
      </c>
      <c r="B12" s="5" t="s">
        <v>175</v>
      </c>
      <c r="C12" s="195">
        <f>H8*I8*1.5</f>
        <v>36</v>
      </c>
      <c r="D12" s="58">
        <v>15.96</v>
      </c>
      <c r="E12" s="13">
        <v>0</v>
      </c>
      <c r="F12" s="13">
        <v>0</v>
      </c>
      <c r="G12" s="15">
        <f>C12*D12</f>
        <v>574.55999999999995</v>
      </c>
      <c r="H12" s="197">
        <f>C12</f>
        <v>36</v>
      </c>
      <c r="I12" s="198"/>
      <c r="J12" s="59">
        <v>98.86</v>
      </c>
      <c r="K12" s="47">
        <v>0</v>
      </c>
      <c r="L12" s="15">
        <f>H12*J12</f>
        <v>3558.96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7260.6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11</v>
      </c>
      <c r="D15" s="62">
        <v>528</v>
      </c>
      <c r="E15" s="43">
        <v>2.5000000000000001E-2</v>
      </c>
      <c r="F15" s="43">
        <v>8</v>
      </c>
      <c r="G15" s="14">
        <f>C15*D15*E15*F15</f>
        <v>1161.5999999999999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5899</v>
      </c>
      <c r="L16" s="46">
        <f t="shared" si="2"/>
        <v>5899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7496.06</v>
      </c>
      <c r="H19" s="49"/>
      <c r="I19" s="49"/>
      <c r="J19" s="49"/>
      <c r="K19" s="49"/>
      <c r="L19" s="50">
        <f>L7+L8+L9+L11+L12+L13+L15+L16+L17+L18</f>
        <v>19618.939999999999</v>
      </c>
      <c r="M19" s="188">
        <f>M6+M10+M14</f>
        <v>27115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67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68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14457.44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44</v>
      </c>
      <c r="D7" s="106">
        <v>36</v>
      </c>
      <c r="E7" s="68">
        <v>8.16</v>
      </c>
      <c r="F7" s="13">
        <v>0</v>
      </c>
      <c r="G7" s="14">
        <f>(C7*D7*E7)+F7</f>
        <v>12925.44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36</v>
      </c>
      <c r="J8" s="58">
        <v>37</v>
      </c>
      <c r="K8" s="13">
        <v>0</v>
      </c>
      <c r="L8" s="15">
        <f t="shared" ref="L8:L9" si="1">(H8*I8*J8)+K8</f>
        <v>1332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35725.550000000003</v>
      </c>
      <c r="N10" s="252" t="s">
        <v>37</v>
      </c>
    </row>
    <row r="11" spans="1:15" ht="49.15" customHeight="1" x14ac:dyDescent="0.25">
      <c r="A11" s="2" t="s">
        <v>3</v>
      </c>
      <c r="B11" s="3" t="s">
        <v>174</v>
      </c>
      <c r="C11" s="61">
        <f>C7*D7*0.15409</f>
        <v>244.08</v>
      </c>
      <c r="D11" s="58">
        <v>15.96</v>
      </c>
      <c r="E11" s="13">
        <v>0</v>
      </c>
      <c r="F11" s="13">
        <v>0</v>
      </c>
      <c r="G11" s="15">
        <f>C11*D11</f>
        <v>3895.52</v>
      </c>
      <c r="H11" s="60">
        <f>C11</f>
        <v>244.08</v>
      </c>
      <c r="I11" s="36"/>
      <c r="J11" s="59">
        <v>98.86</v>
      </c>
      <c r="K11" s="47">
        <v>0</v>
      </c>
      <c r="L11" s="15">
        <f>H11*J11</f>
        <v>24129.75</v>
      </c>
      <c r="M11" s="184"/>
      <c r="N11" s="253"/>
    </row>
    <row r="12" spans="1:15" ht="49.15" customHeight="1" x14ac:dyDescent="0.25">
      <c r="A12" s="11" t="s">
        <v>4</v>
      </c>
      <c r="B12" s="3" t="s">
        <v>175</v>
      </c>
      <c r="C12" s="195">
        <f>H8*I8*1.5</f>
        <v>54</v>
      </c>
      <c r="D12" s="58">
        <v>15.96</v>
      </c>
      <c r="E12" s="13">
        <v>0</v>
      </c>
      <c r="F12" s="13">
        <v>0</v>
      </c>
      <c r="G12" s="15">
        <f>C12*D12</f>
        <v>861.84</v>
      </c>
      <c r="H12" s="197">
        <f>C12</f>
        <v>54</v>
      </c>
      <c r="I12" s="198"/>
      <c r="J12" s="59">
        <v>98.86</v>
      </c>
      <c r="K12" s="47">
        <v>0</v>
      </c>
      <c r="L12" s="15">
        <f>H12*J12</f>
        <v>5338.44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8562.4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19</v>
      </c>
      <c r="D15" s="62">
        <v>528</v>
      </c>
      <c r="E15" s="43">
        <v>2.5000000000000001E-2</v>
      </c>
      <c r="F15" s="43">
        <v>8</v>
      </c>
      <c r="G15" s="14">
        <f>C15*D15*E15*F15</f>
        <v>2006.4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6356</v>
      </c>
      <c r="L16" s="46">
        <f t="shared" si="2"/>
        <v>6356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19689.2</v>
      </c>
      <c r="H19" s="49"/>
      <c r="I19" s="49"/>
      <c r="J19" s="49"/>
      <c r="K19" s="49"/>
      <c r="L19" s="50">
        <f>L7+L8+L9+L11+L12+L13+L15+L16+L17+L18</f>
        <v>39056.19</v>
      </c>
      <c r="M19" s="188">
        <f>M6+M10+M14</f>
        <v>58745.39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69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70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7400.48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23</v>
      </c>
      <c r="D7" s="106">
        <v>36</v>
      </c>
      <c r="E7" s="68">
        <v>8.16</v>
      </c>
      <c r="F7" s="13">
        <v>0</v>
      </c>
      <c r="G7" s="14">
        <f>(C7*D7*E7)+F7</f>
        <v>6756.48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12</v>
      </c>
      <c r="J8" s="58">
        <v>37</v>
      </c>
      <c r="K8" s="13">
        <v>0</v>
      </c>
      <c r="L8" s="15">
        <f t="shared" ref="L8:L9" si="1">(H8*I8*J8)+K8</f>
        <v>444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16918.03</v>
      </c>
      <c r="N10" s="252" t="s">
        <v>37</v>
      </c>
    </row>
    <row r="11" spans="1:15" ht="47.45" customHeight="1" x14ac:dyDescent="0.25">
      <c r="A11" s="2" t="s">
        <v>3</v>
      </c>
      <c r="B11" s="3" t="s">
        <v>174</v>
      </c>
      <c r="C11" s="61">
        <f>C7*D7*0.14043</f>
        <v>116.28</v>
      </c>
      <c r="D11" s="58">
        <v>15.96</v>
      </c>
      <c r="E11" s="13">
        <v>0</v>
      </c>
      <c r="F11" s="13">
        <v>0</v>
      </c>
      <c r="G11" s="15">
        <f>C11*D11</f>
        <v>1855.83</v>
      </c>
      <c r="H11" s="60">
        <f>C11</f>
        <v>116.28</v>
      </c>
      <c r="I11" s="36"/>
      <c r="J11" s="59">
        <v>98.86</v>
      </c>
      <c r="K11" s="47">
        <v>0</v>
      </c>
      <c r="L11" s="15">
        <f>H11*J11</f>
        <v>11495.44</v>
      </c>
      <c r="M11" s="184"/>
      <c r="N11" s="253"/>
    </row>
    <row r="12" spans="1:15" ht="48" customHeight="1" x14ac:dyDescent="0.25">
      <c r="A12" s="11" t="s">
        <v>4</v>
      </c>
      <c r="B12" s="3" t="s">
        <v>175</v>
      </c>
      <c r="C12" s="195">
        <f>H8*I8*1.5</f>
        <v>18</v>
      </c>
      <c r="D12" s="58">
        <v>15.96</v>
      </c>
      <c r="E12" s="13">
        <v>0</v>
      </c>
      <c r="F12" s="13">
        <v>0</v>
      </c>
      <c r="G12" s="15">
        <f>C12*D12</f>
        <v>287.27999999999997</v>
      </c>
      <c r="H12" s="197">
        <f>C12</f>
        <v>18</v>
      </c>
      <c r="I12" s="198"/>
      <c r="J12" s="59">
        <v>98.86</v>
      </c>
      <c r="K12" s="47">
        <v>0</v>
      </c>
      <c r="L12" s="15">
        <f>H12*J12</f>
        <v>1779.48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11425.6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6</v>
      </c>
      <c r="D15" s="62">
        <v>528</v>
      </c>
      <c r="E15" s="43">
        <v>2.5000000000000001E-2</v>
      </c>
      <c r="F15" s="43">
        <v>8</v>
      </c>
      <c r="G15" s="14">
        <f>C15*D15*E15*F15</f>
        <v>633.6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10592</v>
      </c>
      <c r="L16" s="46">
        <f t="shared" si="2"/>
        <v>10592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9533.19</v>
      </c>
      <c r="H19" s="49"/>
      <c r="I19" s="49"/>
      <c r="J19" s="49"/>
      <c r="K19" s="49"/>
      <c r="L19" s="50">
        <f>L7+L8+L9+L11+L12+L13+L15+L16+L17+L18</f>
        <v>26210.92</v>
      </c>
      <c r="M19" s="188">
        <f>M6+M10+M14</f>
        <v>35744.11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71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72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43521.440000000002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118</v>
      </c>
      <c r="D7" s="106">
        <v>36</v>
      </c>
      <c r="E7" s="68">
        <v>9.7799999999999994</v>
      </c>
      <c r="F7" s="13">
        <v>0</v>
      </c>
      <c r="G7" s="14">
        <f>(C7*D7*E7)+F7</f>
        <v>41545.440000000002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4</v>
      </c>
      <c r="I8" s="106">
        <v>12</v>
      </c>
      <c r="J8" s="58">
        <v>37</v>
      </c>
      <c r="K8" s="13">
        <v>0</v>
      </c>
      <c r="L8" s="15">
        <f t="shared" ref="L8:L9" si="1">(H8*I8*J8)+K8</f>
        <v>1776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67062.22</v>
      </c>
      <c r="N10" s="252" t="s">
        <v>37</v>
      </c>
    </row>
    <row r="11" spans="1:15" ht="44.45" customHeight="1" x14ac:dyDescent="0.25">
      <c r="A11" s="2" t="s">
        <v>3</v>
      </c>
      <c r="B11" s="3" t="s">
        <v>174</v>
      </c>
      <c r="C11" s="61">
        <f>C7*D7*0.117467</f>
        <v>499</v>
      </c>
      <c r="D11" s="58">
        <v>15.96</v>
      </c>
      <c r="E11" s="13">
        <v>0</v>
      </c>
      <c r="F11" s="13">
        <v>0</v>
      </c>
      <c r="G11" s="15">
        <f>C11*D11</f>
        <v>7964.04</v>
      </c>
      <c r="H11" s="60">
        <f>C11</f>
        <v>499</v>
      </c>
      <c r="I11" s="36"/>
      <c r="J11" s="59">
        <v>98.86</v>
      </c>
      <c r="K11" s="47">
        <v>0</v>
      </c>
      <c r="L11" s="15">
        <f>H11*J11</f>
        <v>49331.14</v>
      </c>
      <c r="M11" s="184"/>
      <c r="N11" s="253"/>
    </row>
    <row r="12" spans="1:15" ht="44.45" customHeight="1" x14ac:dyDescent="0.25">
      <c r="A12" s="11" t="s">
        <v>4</v>
      </c>
      <c r="B12" s="3" t="s">
        <v>175</v>
      </c>
      <c r="C12" s="195">
        <f>H8*I8*1.5</f>
        <v>72</v>
      </c>
      <c r="D12" s="58">
        <v>15.96</v>
      </c>
      <c r="E12" s="13">
        <v>0</v>
      </c>
      <c r="F12" s="13">
        <v>0</v>
      </c>
      <c r="G12" s="15">
        <f>C12*D12</f>
        <v>1149.1199999999999</v>
      </c>
      <c r="H12" s="197">
        <f>C12</f>
        <v>72</v>
      </c>
      <c r="I12" s="198"/>
      <c r="J12" s="59">
        <v>98.86</v>
      </c>
      <c r="K12" s="47">
        <v>0</v>
      </c>
      <c r="L12" s="15">
        <f>H12*J12</f>
        <v>7117.92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16232.8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43</v>
      </c>
      <c r="D15" s="62">
        <v>528</v>
      </c>
      <c r="E15" s="43">
        <v>2.5000000000000001E-2</v>
      </c>
      <c r="F15" s="43">
        <v>8</v>
      </c>
      <c r="G15" s="14">
        <f>C15*D15*E15*F15</f>
        <v>4540.8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11492</v>
      </c>
      <c r="L16" s="46">
        <f t="shared" si="2"/>
        <v>11492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55199.4</v>
      </c>
      <c r="H19" s="49"/>
      <c r="I19" s="49"/>
      <c r="J19" s="49"/>
      <c r="K19" s="49"/>
      <c r="L19" s="50">
        <f>L7+L8+L9+L11+L12+L13+L15+L16+L17+L18</f>
        <v>71617.06</v>
      </c>
      <c r="M19" s="188">
        <f>M6+M10+M14</f>
        <v>126816.46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74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27232.639999999999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89</v>
      </c>
      <c r="D7" s="106">
        <v>36</v>
      </c>
      <c r="E7" s="68">
        <v>8.16</v>
      </c>
      <c r="F7" s="13">
        <v>0</v>
      </c>
      <c r="G7" s="14">
        <f>(C7*D7*E7)+F7</f>
        <v>26144.639999999999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12</v>
      </c>
      <c r="J8" s="58">
        <v>37</v>
      </c>
      <c r="K8" s="13">
        <v>0</v>
      </c>
      <c r="L8" s="15">
        <f t="shared" ref="L8:L9" si="1">(H8*I8*J8)+K8</f>
        <v>888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53731.61</v>
      </c>
      <c r="N10" s="252" t="s">
        <v>37</v>
      </c>
    </row>
    <row r="11" spans="1:15" ht="48" customHeight="1" x14ac:dyDescent="0.25">
      <c r="A11" s="2" t="s">
        <v>3</v>
      </c>
      <c r="B11" s="3" t="s">
        <v>174</v>
      </c>
      <c r="C11" s="61">
        <f>C7*D7*0.1307428</f>
        <v>418.9</v>
      </c>
      <c r="D11" s="58">
        <v>15.96</v>
      </c>
      <c r="E11" s="13">
        <v>0</v>
      </c>
      <c r="F11" s="13">
        <v>0</v>
      </c>
      <c r="G11" s="15">
        <f>C11*D11</f>
        <v>6685.64</v>
      </c>
      <c r="H11" s="60">
        <f>C11</f>
        <v>418.9</v>
      </c>
      <c r="I11" s="36"/>
      <c r="J11" s="59">
        <v>98.86</v>
      </c>
      <c r="K11" s="47">
        <v>0</v>
      </c>
      <c r="L11" s="15">
        <f>H11*J11</f>
        <v>41412.449999999997</v>
      </c>
      <c r="M11" s="184"/>
      <c r="N11" s="253"/>
    </row>
    <row r="12" spans="1:15" ht="42.6" customHeight="1" x14ac:dyDescent="0.25">
      <c r="A12" s="11" t="s">
        <v>4</v>
      </c>
      <c r="B12" s="3" t="s">
        <v>175</v>
      </c>
      <c r="C12" s="195">
        <f>H8*I8*1.5</f>
        <v>36</v>
      </c>
      <c r="D12" s="58">
        <v>15.96</v>
      </c>
      <c r="E12" s="13">
        <v>0</v>
      </c>
      <c r="F12" s="13">
        <v>0</v>
      </c>
      <c r="G12" s="15">
        <f>C12*D12</f>
        <v>574.55999999999995</v>
      </c>
      <c r="H12" s="197">
        <f>C12</f>
        <v>36</v>
      </c>
      <c r="I12" s="198"/>
      <c r="J12" s="59">
        <v>98.86</v>
      </c>
      <c r="K12" s="47">
        <v>0</v>
      </c>
      <c r="L12" s="15">
        <f>H12*J12</f>
        <v>3558.96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7576.4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14</v>
      </c>
      <c r="D15" s="62">
        <v>528</v>
      </c>
      <c r="E15" s="43">
        <v>2.5000000000000001E-2</v>
      </c>
      <c r="F15" s="43">
        <v>8</v>
      </c>
      <c r="G15" s="14">
        <f>C15*D15*E15*F15</f>
        <v>1478.4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5898</v>
      </c>
      <c r="L16" s="46">
        <f t="shared" si="2"/>
        <v>5898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34883.24</v>
      </c>
      <c r="H19" s="49"/>
      <c r="I19" s="49"/>
      <c r="J19" s="49"/>
      <c r="K19" s="49"/>
      <c r="L19" s="50">
        <f>L7+L8+L9+L11+L12+L13+L15+L16+L17+L18</f>
        <v>53657.41</v>
      </c>
      <c r="M19" s="188">
        <f>M6+M10+M14</f>
        <v>88540.65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75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76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8856.32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34</v>
      </c>
      <c r="D7" s="106">
        <v>28</v>
      </c>
      <c r="E7" s="68">
        <v>8.16</v>
      </c>
      <c r="F7" s="13">
        <v>0</v>
      </c>
      <c r="G7" s="14">
        <f>(C7*D7*E7)+F7</f>
        <v>7768.32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12</v>
      </c>
      <c r="J8" s="58">
        <v>37</v>
      </c>
      <c r="K8" s="13">
        <v>0</v>
      </c>
      <c r="L8" s="15">
        <f t="shared" ref="L8:L9" si="1">(H8*I8*J8)+K8</f>
        <v>888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20041.13</v>
      </c>
      <c r="N10" s="252" t="s">
        <v>37</v>
      </c>
    </row>
    <row r="11" spans="1:15" ht="46.9" customHeight="1" x14ac:dyDescent="0.25">
      <c r="A11" s="2" t="s">
        <v>3</v>
      </c>
      <c r="B11" s="3" t="s">
        <v>174</v>
      </c>
      <c r="C11" s="61">
        <f>C7*D7*0.1318067</f>
        <v>125.48</v>
      </c>
      <c r="D11" s="58">
        <v>15.96</v>
      </c>
      <c r="E11" s="13">
        <v>0</v>
      </c>
      <c r="F11" s="13">
        <v>0</v>
      </c>
      <c r="G11" s="15">
        <f>C11*D11</f>
        <v>2002.66</v>
      </c>
      <c r="H11" s="60">
        <f>C11</f>
        <v>125.48</v>
      </c>
      <c r="I11" s="36"/>
      <c r="J11" s="59">
        <v>98.86</v>
      </c>
      <c r="K11" s="47">
        <v>0</v>
      </c>
      <c r="L11" s="15">
        <f>H11*J11</f>
        <v>12404.95</v>
      </c>
      <c r="M11" s="184"/>
      <c r="N11" s="253"/>
    </row>
    <row r="12" spans="1:15" ht="47.45" customHeight="1" x14ac:dyDescent="0.25">
      <c r="A12" s="11" t="s">
        <v>4</v>
      </c>
      <c r="B12" s="3" t="s">
        <v>175</v>
      </c>
      <c r="C12" s="195">
        <f>H8*I8*1.5</f>
        <v>36</v>
      </c>
      <c r="D12" s="58">
        <v>15.96</v>
      </c>
      <c r="E12" s="13">
        <v>0</v>
      </c>
      <c r="F12" s="13">
        <v>0</v>
      </c>
      <c r="G12" s="15">
        <f>C12*D12</f>
        <v>574.55999999999995</v>
      </c>
      <c r="H12" s="197">
        <f>C12</f>
        <v>36</v>
      </c>
      <c r="I12" s="198"/>
      <c r="J12" s="59">
        <v>98.86</v>
      </c>
      <c r="K12" s="47">
        <v>0</v>
      </c>
      <c r="L12" s="15">
        <f>H12*J12</f>
        <v>3558.96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9117.6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16</v>
      </c>
      <c r="D15" s="62">
        <v>528</v>
      </c>
      <c r="E15" s="43">
        <v>2.5000000000000001E-2</v>
      </c>
      <c r="F15" s="43">
        <v>8</v>
      </c>
      <c r="G15" s="14">
        <f>C15*D15*E15*F15</f>
        <v>1689.6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7228</v>
      </c>
      <c r="L16" s="46">
        <f t="shared" si="2"/>
        <v>7228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12035.14</v>
      </c>
      <c r="H19" s="49"/>
      <c r="I19" s="49"/>
      <c r="J19" s="49"/>
      <c r="K19" s="49"/>
      <c r="L19" s="50">
        <f>L7+L8+L9+L11+L12+L13+L15+L16+L17+L18</f>
        <v>25979.91</v>
      </c>
      <c r="M19" s="188">
        <f>M6+M10+M14</f>
        <v>38015.050000000003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8" sqref="F8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5703125" customWidth="1"/>
    <col min="6" max="6" width="12.28515625" customWidth="1"/>
    <col min="7" max="7" width="13.28515625" customWidth="1"/>
    <col min="8" max="8" width="14" customWidth="1"/>
    <col min="9" max="9" width="13.140625" customWidth="1"/>
    <col min="10" max="10" width="14.5703125" customWidth="1"/>
    <col min="11" max="11" width="12" customWidth="1"/>
    <col min="12" max="12" width="14.140625" customWidth="1"/>
    <col min="13" max="13" width="13" customWidth="1"/>
    <col min="14" max="14" width="9.5703125" customWidth="1"/>
  </cols>
  <sheetData>
    <row r="1" spans="1:15" x14ac:dyDescent="0.25">
      <c r="A1" s="248" t="s">
        <v>34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40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9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8859.2000000000007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42">
        <v>30</v>
      </c>
      <c r="D7" s="43">
        <v>28</v>
      </c>
      <c r="E7" s="58">
        <v>9.7799999999999994</v>
      </c>
      <c r="F7" s="13">
        <v>0</v>
      </c>
      <c r="G7" s="14">
        <f>(C7*D7*E7)+F7</f>
        <v>8215.2000000000007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6</v>
      </c>
      <c r="J8" s="58">
        <v>37</v>
      </c>
      <c r="K8" s="13">
        <v>0</v>
      </c>
      <c r="L8" s="15">
        <f t="shared" ref="L8:L9" si="1">(H8*I8*J8)+K8</f>
        <v>444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6.150000000000006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15788.2</v>
      </c>
      <c r="N10" s="252" t="s">
        <v>37</v>
      </c>
    </row>
    <row r="11" spans="1:15" ht="46.9" customHeight="1" x14ac:dyDescent="0.25">
      <c r="A11" s="2" t="s">
        <v>3</v>
      </c>
      <c r="B11" s="5" t="s">
        <v>174</v>
      </c>
      <c r="C11" s="61">
        <f>C7*D7*0.12671</f>
        <v>106.44</v>
      </c>
      <c r="D11" s="58">
        <v>15.96</v>
      </c>
      <c r="E11" s="13">
        <v>0</v>
      </c>
      <c r="F11" s="13">
        <v>0</v>
      </c>
      <c r="G11" s="15">
        <f>C11*D11</f>
        <v>1698.78</v>
      </c>
      <c r="H11" s="60">
        <f>C11</f>
        <v>106.44</v>
      </c>
      <c r="I11" s="36"/>
      <c r="J11" s="59">
        <v>98.86</v>
      </c>
      <c r="K11" s="47">
        <v>0</v>
      </c>
      <c r="L11" s="15">
        <f>H11*J11+K11</f>
        <v>10522.66</v>
      </c>
      <c r="M11" s="184"/>
      <c r="N11" s="253"/>
    </row>
    <row r="12" spans="1:15" ht="45.6" customHeight="1" x14ac:dyDescent="0.25">
      <c r="A12" s="11" t="s">
        <v>4</v>
      </c>
      <c r="B12" s="5" t="s">
        <v>175</v>
      </c>
      <c r="C12" s="195">
        <f>H8*I8*1.5</f>
        <v>18</v>
      </c>
      <c r="D12" s="58">
        <v>15.96</v>
      </c>
      <c r="E12" s="13">
        <v>0</v>
      </c>
      <c r="F12" s="13">
        <v>0</v>
      </c>
      <c r="G12" s="15">
        <f>C12*D12</f>
        <v>287.27999999999997</v>
      </c>
      <c r="H12" s="197">
        <f>C12</f>
        <v>18</v>
      </c>
      <c r="I12" s="198"/>
      <c r="J12" s="59">
        <v>98.86</v>
      </c>
      <c r="K12" s="47">
        <v>0</v>
      </c>
      <c r="L12" s="15">
        <f>H12*J12</f>
        <v>1779.48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1.15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11483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42">
        <v>35</v>
      </c>
      <c r="D15" s="62">
        <v>528</v>
      </c>
      <c r="E15" s="43">
        <v>2.5000000000000001E-2</v>
      </c>
      <c r="F15" s="43">
        <v>8</v>
      </c>
      <c r="G15" s="14">
        <f>C15*D15*E15*F15</f>
        <v>3696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64">
        <v>7587</v>
      </c>
      <c r="L16" s="46">
        <f t="shared" si="2"/>
        <v>7587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13897.26</v>
      </c>
      <c r="H19" s="49"/>
      <c r="I19" s="49"/>
      <c r="J19" s="49"/>
      <c r="K19" s="49"/>
      <c r="L19" s="50">
        <f>L7+L8+L9+L11+L12+L13+L15+L16+L17+L18</f>
        <v>22233.14</v>
      </c>
      <c r="M19" s="188">
        <f>M6+M10+M14</f>
        <v>36130.400000000001</v>
      </c>
      <c r="N19" s="50"/>
    </row>
    <row r="21" spans="1:14" x14ac:dyDescent="0.25">
      <c r="M21" s="51"/>
    </row>
  </sheetData>
  <mergeCells count="9">
    <mergeCell ref="A2:N2"/>
    <mergeCell ref="A1:N1"/>
    <mergeCell ref="A3:N3"/>
    <mergeCell ref="A19:B19"/>
    <mergeCell ref="N6:N9"/>
    <mergeCell ref="N10:N13"/>
    <mergeCell ref="N14:N18"/>
    <mergeCell ref="C5:G5"/>
    <mergeCell ref="H5:L5"/>
  </mergeCells>
  <pageMargins left="0.51181102362204722" right="0.51181102362204722" top="0.74803149606299213" bottom="0.55118110236220474" header="0.31496062992125984" footer="0.31496062992125984"/>
  <pageSetup paperSize="9" scale="6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77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78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11813.6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35</v>
      </c>
      <c r="D7" s="106">
        <v>36</v>
      </c>
      <c r="E7" s="68">
        <v>8.16</v>
      </c>
      <c r="F7" s="13">
        <v>0</v>
      </c>
      <c r="G7" s="14">
        <f>(C7*D7*E7)+F7</f>
        <v>10281.6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79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3</v>
      </c>
      <c r="I8" s="106">
        <v>12</v>
      </c>
      <c r="J8" s="58">
        <v>37</v>
      </c>
      <c r="K8" s="13">
        <v>0</v>
      </c>
      <c r="L8" s="15">
        <f t="shared" ref="L8:L9" si="1">(H8*I8*J8)+K8</f>
        <v>1332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27630.74</v>
      </c>
      <c r="N10" s="252" t="s">
        <v>37</v>
      </c>
    </row>
    <row r="11" spans="1:15" ht="47.45" customHeight="1" x14ac:dyDescent="0.25">
      <c r="A11" s="2" t="s">
        <v>3</v>
      </c>
      <c r="B11" s="3" t="s">
        <v>174</v>
      </c>
      <c r="C11" s="61">
        <f>C7*D7*0.13776</f>
        <v>173.58</v>
      </c>
      <c r="D11" s="58">
        <v>15.96</v>
      </c>
      <c r="E11" s="13">
        <v>0</v>
      </c>
      <c r="F11" s="13">
        <v>0</v>
      </c>
      <c r="G11" s="15">
        <f>C11*D11</f>
        <v>2770.34</v>
      </c>
      <c r="H11" s="60">
        <f>C11</f>
        <v>173.58</v>
      </c>
      <c r="I11" s="36"/>
      <c r="J11" s="59">
        <v>98.86</v>
      </c>
      <c r="K11" s="47">
        <v>0</v>
      </c>
      <c r="L11" s="15">
        <f>H11*J11</f>
        <v>17160.12</v>
      </c>
      <c r="M11" s="184"/>
      <c r="N11" s="253"/>
    </row>
    <row r="12" spans="1:15" ht="45.6" customHeight="1" x14ac:dyDescent="0.25">
      <c r="A12" s="11" t="s">
        <v>4</v>
      </c>
      <c r="B12" s="3" t="s">
        <v>175</v>
      </c>
      <c r="C12" s="195">
        <f>H8*I8*1.5</f>
        <v>54</v>
      </c>
      <c r="D12" s="58">
        <v>15.96</v>
      </c>
      <c r="E12" s="13">
        <v>0</v>
      </c>
      <c r="F12" s="13">
        <v>0</v>
      </c>
      <c r="G12" s="15">
        <f>C12*D12</f>
        <v>861.84</v>
      </c>
      <c r="H12" s="197">
        <f>C12</f>
        <v>54</v>
      </c>
      <c r="I12" s="198"/>
      <c r="J12" s="59">
        <v>98.86</v>
      </c>
      <c r="K12" s="47">
        <v>0</v>
      </c>
      <c r="L12" s="15">
        <f>H12*J12</f>
        <v>5338.44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6937.2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7</v>
      </c>
      <c r="D15" s="62">
        <v>528</v>
      </c>
      <c r="E15" s="43">
        <v>2.5000000000000001E-2</v>
      </c>
      <c r="F15" s="43">
        <v>8</v>
      </c>
      <c r="G15" s="14">
        <f>C15*D15*E15*F15</f>
        <v>739.2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5998</v>
      </c>
      <c r="L16" s="46">
        <f t="shared" si="2"/>
        <v>5998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14652.98</v>
      </c>
      <c r="H19" s="49"/>
      <c r="I19" s="49"/>
      <c r="J19" s="49"/>
      <c r="K19" s="49"/>
      <c r="L19" s="50">
        <f>L7+L8+L9+L11+L12+L13+L15+L16+L17+L18</f>
        <v>31728.560000000001</v>
      </c>
      <c r="M19" s="188">
        <f>M6+M10+M14</f>
        <v>46381.54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80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81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4534.6400000000003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18</v>
      </c>
      <c r="D7" s="106">
        <v>28</v>
      </c>
      <c r="E7" s="68">
        <v>8.16</v>
      </c>
      <c r="F7" s="13">
        <v>0</v>
      </c>
      <c r="G7" s="14">
        <f>(C7*D7*E7)+F7</f>
        <v>4112.6400000000003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6</v>
      </c>
      <c r="J8" s="58">
        <v>37</v>
      </c>
      <c r="K8" s="13">
        <v>0</v>
      </c>
      <c r="L8" s="15">
        <f t="shared" ref="L8:L9" si="1">(H8*I8*J8)+K8</f>
        <v>222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14513.7</v>
      </c>
      <c r="N10" s="252" t="s">
        <v>37</v>
      </c>
    </row>
    <row r="11" spans="1:15" ht="46.15" customHeight="1" x14ac:dyDescent="0.25">
      <c r="A11" s="2" t="s">
        <v>3</v>
      </c>
      <c r="B11" s="3" t="s">
        <v>174</v>
      </c>
      <c r="C11" s="61">
        <f>C7*D7*0.20702</f>
        <v>104.34</v>
      </c>
      <c r="D11" s="58">
        <v>15.96</v>
      </c>
      <c r="E11" s="13">
        <v>0</v>
      </c>
      <c r="F11" s="13">
        <v>0</v>
      </c>
      <c r="G11" s="15">
        <f>C11*D11</f>
        <v>1665.27</v>
      </c>
      <c r="H11" s="60">
        <f>C11</f>
        <v>104.34</v>
      </c>
      <c r="I11" s="36"/>
      <c r="J11" s="59">
        <v>98.86</v>
      </c>
      <c r="K11" s="47">
        <v>0</v>
      </c>
      <c r="L11" s="15">
        <f>H11*J11</f>
        <v>10315.049999999999</v>
      </c>
      <c r="M11" s="184"/>
      <c r="N11" s="253"/>
    </row>
    <row r="12" spans="1:15" ht="45.6" customHeight="1" x14ac:dyDescent="0.25">
      <c r="A12" s="11" t="s">
        <v>4</v>
      </c>
      <c r="B12" s="3" t="s">
        <v>175</v>
      </c>
      <c r="C12" s="195">
        <f>H8*I8*1.5</f>
        <v>9</v>
      </c>
      <c r="D12" s="58">
        <v>15.96</v>
      </c>
      <c r="E12" s="13">
        <v>0</v>
      </c>
      <c r="F12" s="13">
        <v>0</v>
      </c>
      <c r="G12" s="15">
        <f>C12*D12</f>
        <v>143.63999999999999</v>
      </c>
      <c r="H12" s="197">
        <f>C12</f>
        <v>9</v>
      </c>
      <c r="I12" s="198"/>
      <c r="J12" s="59">
        <v>98.86</v>
      </c>
      <c r="K12" s="47">
        <v>0</v>
      </c>
      <c r="L12" s="15">
        <f>H12*J12</f>
        <v>889.74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12273.2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12</v>
      </c>
      <c r="D15" s="62">
        <v>528</v>
      </c>
      <c r="E15" s="43">
        <v>2.5000000000000001E-2</v>
      </c>
      <c r="F15" s="43">
        <v>8</v>
      </c>
      <c r="G15" s="14">
        <f>C15*D15*E15*F15</f>
        <v>1267.2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10806</v>
      </c>
      <c r="L16" s="46">
        <f t="shared" si="2"/>
        <v>10806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7188.75</v>
      </c>
      <c r="H19" s="49"/>
      <c r="I19" s="49"/>
      <c r="J19" s="49"/>
      <c r="K19" s="49"/>
      <c r="L19" s="50">
        <f>L7+L8+L9+L11+L12+L13+L15+L16+L17+L18</f>
        <v>24132.79</v>
      </c>
      <c r="M19" s="188">
        <f>M6+M10+M14</f>
        <v>31321.54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82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83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38115.199999999997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120</v>
      </c>
      <c r="D7" s="106">
        <v>36</v>
      </c>
      <c r="E7" s="68">
        <v>8.16</v>
      </c>
      <c r="F7" s="13">
        <v>0</v>
      </c>
      <c r="G7" s="14">
        <f>(C7*D7*E7)+F7</f>
        <v>35251.199999999997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36</v>
      </c>
      <c r="J8" s="58">
        <v>37</v>
      </c>
      <c r="K8" s="13">
        <v>0</v>
      </c>
      <c r="L8" s="15">
        <f t="shared" ref="L8:L9" si="1">(H8*I8*J8)+K8</f>
        <v>2664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81244.789999999994</v>
      </c>
      <c r="N10" s="252" t="s">
        <v>37</v>
      </c>
    </row>
    <row r="11" spans="1:15" ht="46.9" customHeight="1" x14ac:dyDescent="0.25">
      <c r="A11" s="2" t="s">
        <v>3</v>
      </c>
      <c r="B11" s="3" t="s">
        <v>174</v>
      </c>
      <c r="C11" s="61">
        <f>C7*D7*0.135768</f>
        <v>586.52</v>
      </c>
      <c r="D11" s="58">
        <v>15.96</v>
      </c>
      <c r="E11" s="13">
        <v>0</v>
      </c>
      <c r="F11" s="13">
        <v>0</v>
      </c>
      <c r="G11" s="15">
        <f>C11*D11</f>
        <v>9360.86</v>
      </c>
      <c r="H11" s="60">
        <f>C11</f>
        <v>586.52</v>
      </c>
      <c r="I11" s="36"/>
      <c r="J11" s="59">
        <v>98.86</v>
      </c>
      <c r="K11" s="47">
        <v>0</v>
      </c>
      <c r="L11" s="15">
        <f>H11*J11</f>
        <v>57983.37</v>
      </c>
      <c r="M11" s="184"/>
      <c r="N11" s="253"/>
    </row>
    <row r="12" spans="1:15" ht="48.6" customHeight="1" x14ac:dyDescent="0.25">
      <c r="A12" s="11" t="s">
        <v>4</v>
      </c>
      <c r="B12" s="3" t="s">
        <v>175</v>
      </c>
      <c r="C12" s="195">
        <f>H8*I8*1.5</f>
        <v>108</v>
      </c>
      <c r="D12" s="58">
        <v>15.96</v>
      </c>
      <c r="E12" s="13">
        <v>0</v>
      </c>
      <c r="F12" s="13">
        <v>0</v>
      </c>
      <c r="G12" s="15">
        <f>C12*D12</f>
        <v>1723.68</v>
      </c>
      <c r="H12" s="197">
        <f>C12</f>
        <v>108</v>
      </c>
      <c r="I12" s="198"/>
      <c r="J12" s="59">
        <v>98.86</v>
      </c>
      <c r="K12" s="47">
        <v>0</v>
      </c>
      <c r="L12" s="15">
        <f>H12*J12</f>
        <v>10676.88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19541.2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57</v>
      </c>
      <c r="D15" s="62">
        <v>528</v>
      </c>
      <c r="E15" s="43">
        <v>2.5000000000000001E-2</v>
      </c>
      <c r="F15" s="43">
        <v>8</v>
      </c>
      <c r="G15" s="14">
        <f>C15*D15*E15*F15</f>
        <v>6019.2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13322</v>
      </c>
      <c r="L16" s="46">
        <f t="shared" si="2"/>
        <v>13322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52354.94</v>
      </c>
      <c r="H19" s="49"/>
      <c r="I19" s="49"/>
      <c r="J19" s="49"/>
      <c r="K19" s="49"/>
      <c r="L19" s="50">
        <f>L7+L8+L9+L11+L12+L13+L15+L16+L17+L18</f>
        <v>86546.25</v>
      </c>
      <c r="M19" s="188">
        <f>M6+M10+M14</f>
        <v>138901.19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Zeros="0" zoomScale="80" zoomScaleNormal="8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5.42578125" customWidth="1"/>
    <col min="8" max="8" width="15.28515625" customWidth="1"/>
    <col min="9" max="9" width="11.85546875" customWidth="1"/>
    <col min="10" max="10" width="15.7109375" customWidth="1"/>
    <col min="11" max="11" width="14.5703125" customWidth="1"/>
    <col min="12" max="12" width="14.7109375" customWidth="1"/>
    <col min="13" max="13" width="15.28515625" customWidth="1"/>
    <col min="14" max="14" width="9.5703125" customWidth="1"/>
  </cols>
  <sheetData>
    <row r="1" spans="1:15" x14ac:dyDescent="0.25">
      <c r="A1" s="248" t="s">
        <v>84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172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8" t="s">
        <v>28</v>
      </c>
      <c r="I5" s="259"/>
      <c r="J5" s="259"/>
      <c r="K5" s="259"/>
      <c r="L5" s="260"/>
      <c r="M5" s="192" t="s">
        <v>9</v>
      </c>
      <c r="N5" s="193" t="s">
        <v>29</v>
      </c>
    </row>
    <row r="6" spans="1:15" ht="44.45" customHeight="1" x14ac:dyDescent="0.25">
      <c r="A6" s="22" t="s">
        <v>24</v>
      </c>
      <c r="B6" s="1" t="s">
        <v>1</v>
      </c>
      <c r="C6" s="210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10" t="s">
        <v>17</v>
      </c>
      <c r="I6" s="24" t="s">
        <v>18</v>
      </c>
      <c r="J6" s="25" t="s">
        <v>19</v>
      </c>
      <c r="K6" s="24" t="s">
        <v>15</v>
      </c>
      <c r="L6" s="75" t="s">
        <v>13</v>
      </c>
      <c r="M6" s="183">
        <f>G7+G10+G11+G12+G13+G14+L7+L10+L11+L12</f>
        <v>1182381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223">
        <f>C8+C9</f>
        <v>976</v>
      </c>
      <c r="D7" s="67"/>
      <c r="E7" s="68">
        <v>5.4</v>
      </c>
      <c r="F7" s="13">
        <v>0</v>
      </c>
      <c r="G7" s="14">
        <f>G8+G9</f>
        <v>1050613.2</v>
      </c>
      <c r="H7" s="261"/>
      <c r="I7" s="262"/>
      <c r="J7" s="262"/>
      <c r="K7" s="263">
        <v>0</v>
      </c>
      <c r="L7" s="264">
        <f>(H7*I7*J7)+K7</f>
        <v>0</v>
      </c>
      <c r="M7" s="184"/>
      <c r="N7" s="253"/>
      <c r="O7" s="10"/>
    </row>
    <row r="8" spans="1:15" x14ac:dyDescent="0.25">
      <c r="A8" s="74" t="s">
        <v>87</v>
      </c>
      <c r="B8" s="69" t="s">
        <v>85</v>
      </c>
      <c r="C8" s="231">
        <v>93</v>
      </c>
      <c r="D8" s="97">
        <v>364</v>
      </c>
      <c r="E8" s="98">
        <v>5.4</v>
      </c>
      <c r="F8" s="70">
        <v>0</v>
      </c>
      <c r="G8" s="226">
        <f t="shared" ref="G8:G9" si="0">(C8*D8*E8)+F8</f>
        <v>182800.8</v>
      </c>
      <c r="H8" s="261"/>
      <c r="I8" s="262"/>
      <c r="J8" s="262"/>
      <c r="K8" s="263"/>
      <c r="L8" s="264"/>
      <c r="M8" s="184"/>
      <c r="N8" s="253"/>
      <c r="O8" s="10"/>
    </row>
    <row r="9" spans="1:15" x14ac:dyDescent="0.25">
      <c r="A9" s="74" t="s">
        <v>88</v>
      </c>
      <c r="B9" s="69" t="s">
        <v>86</v>
      </c>
      <c r="C9" s="231">
        <v>883</v>
      </c>
      <c r="D9" s="97">
        <v>182</v>
      </c>
      <c r="E9" s="98">
        <v>5.4</v>
      </c>
      <c r="F9" s="70">
        <v>0</v>
      </c>
      <c r="G9" s="226">
        <f t="shared" si="0"/>
        <v>867812.4</v>
      </c>
      <c r="H9" s="261"/>
      <c r="I9" s="262"/>
      <c r="J9" s="262"/>
      <c r="K9" s="263"/>
      <c r="L9" s="264"/>
      <c r="M9" s="184"/>
      <c r="N9" s="253"/>
      <c r="O9" s="10"/>
    </row>
    <row r="10" spans="1:15" ht="75" x14ac:dyDescent="0.25">
      <c r="A10" s="2" t="s">
        <v>4</v>
      </c>
      <c r="B10" s="3" t="s">
        <v>79</v>
      </c>
      <c r="C10" s="212"/>
      <c r="D10" s="40"/>
      <c r="E10" s="40"/>
      <c r="F10" s="13">
        <v>0</v>
      </c>
      <c r="G10" s="14">
        <f t="shared" ref="G10:G12" si="1">(C10*D10*E10)+F10</f>
        <v>0</v>
      </c>
      <c r="H10" s="223">
        <v>7</v>
      </c>
      <c r="I10" s="106">
        <v>36</v>
      </c>
      <c r="J10" s="58">
        <v>37</v>
      </c>
      <c r="K10" s="13">
        <v>0</v>
      </c>
      <c r="L10" s="227">
        <f t="shared" ref="L10:L12" si="2">(H10*I10*J10)+K10</f>
        <v>9324</v>
      </c>
      <c r="M10" s="184"/>
      <c r="N10" s="253"/>
    </row>
    <row r="11" spans="1:15" ht="64.150000000000006" customHeight="1" x14ac:dyDescent="0.25">
      <c r="A11" s="11" t="s">
        <v>89</v>
      </c>
      <c r="B11" s="71" t="s">
        <v>120</v>
      </c>
      <c r="C11" s="232"/>
      <c r="D11" s="73"/>
      <c r="E11" s="73"/>
      <c r="F11" s="13">
        <v>0</v>
      </c>
      <c r="G11" s="14">
        <f t="shared" si="1"/>
        <v>0</v>
      </c>
      <c r="H11" s="224"/>
      <c r="I11" s="36"/>
      <c r="J11" s="36"/>
      <c r="K11" s="13">
        <v>20000</v>
      </c>
      <c r="L11" s="227">
        <f>K11</f>
        <v>20000</v>
      </c>
      <c r="M11" s="184"/>
      <c r="N11" s="253"/>
    </row>
    <row r="12" spans="1:15" ht="60" x14ac:dyDescent="0.25">
      <c r="A12" s="2" t="s">
        <v>27</v>
      </c>
      <c r="B12" s="3" t="s">
        <v>11</v>
      </c>
      <c r="C12" s="212"/>
      <c r="D12" s="40"/>
      <c r="E12" s="40"/>
      <c r="F12" s="13">
        <v>0</v>
      </c>
      <c r="G12" s="14">
        <f t="shared" si="1"/>
        <v>0</v>
      </c>
      <c r="H12" s="224"/>
      <c r="I12" s="36"/>
      <c r="J12" s="36"/>
      <c r="K12" s="207">
        <v>4000</v>
      </c>
      <c r="L12" s="227">
        <f t="shared" si="2"/>
        <v>4000</v>
      </c>
      <c r="M12" s="184"/>
      <c r="N12" s="253"/>
    </row>
    <row r="13" spans="1:15" ht="28.15" customHeight="1" x14ac:dyDescent="0.25">
      <c r="A13" s="271" t="s">
        <v>119</v>
      </c>
      <c r="B13" s="269" t="s">
        <v>173</v>
      </c>
      <c r="C13" s="233" t="s">
        <v>177</v>
      </c>
      <c r="D13" s="40"/>
      <c r="E13" s="194" t="s">
        <v>19</v>
      </c>
      <c r="F13" s="13">
        <v>0</v>
      </c>
      <c r="G13" s="14">
        <v>0</v>
      </c>
      <c r="H13" s="224"/>
      <c r="I13" s="36"/>
      <c r="J13" s="36"/>
      <c r="K13" s="36"/>
      <c r="L13" s="36"/>
      <c r="M13" s="184"/>
      <c r="N13" s="253"/>
    </row>
    <row r="14" spans="1:15" ht="40.9" customHeight="1" thickBot="1" x14ac:dyDescent="0.3">
      <c r="A14" s="272"/>
      <c r="B14" s="270"/>
      <c r="C14" s="238">
        <v>1953.25</v>
      </c>
      <c r="D14" s="34"/>
      <c r="E14" s="13">
        <v>50.4</v>
      </c>
      <c r="F14" s="16">
        <v>0</v>
      </c>
      <c r="G14" s="80">
        <f>C14*E14</f>
        <v>98443.8</v>
      </c>
      <c r="H14" s="225"/>
      <c r="I14" s="198"/>
      <c r="J14" s="198"/>
      <c r="K14" s="36"/>
      <c r="L14" s="36"/>
      <c r="M14" s="184"/>
      <c r="N14" s="253"/>
    </row>
    <row r="15" spans="1:15" ht="75" customHeight="1" x14ac:dyDescent="0.25">
      <c r="A15" s="22" t="s">
        <v>25</v>
      </c>
      <c r="B15" s="27" t="s">
        <v>6</v>
      </c>
      <c r="C15" s="23" t="s">
        <v>14</v>
      </c>
      <c r="D15" s="24" t="s">
        <v>12</v>
      </c>
      <c r="E15" s="24" t="s">
        <v>35</v>
      </c>
      <c r="F15" s="24" t="s">
        <v>15</v>
      </c>
      <c r="G15" s="28" t="s">
        <v>13</v>
      </c>
      <c r="H15" s="23" t="s">
        <v>14</v>
      </c>
      <c r="I15" s="24" t="s">
        <v>12</v>
      </c>
      <c r="J15" s="24" t="s">
        <v>35</v>
      </c>
      <c r="K15" s="24" t="s">
        <v>15</v>
      </c>
      <c r="L15" s="28" t="s">
        <v>13</v>
      </c>
      <c r="M15" s="228">
        <f>G16+G17+G18+L16+L17+L18</f>
        <v>2501589.09</v>
      </c>
      <c r="N15" s="252" t="s">
        <v>37</v>
      </c>
    </row>
    <row r="16" spans="1:15" ht="49.15" customHeight="1" x14ac:dyDescent="0.25">
      <c r="A16" s="2" t="s">
        <v>3</v>
      </c>
      <c r="B16" s="3" t="s">
        <v>174</v>
      </c>
      <c r="C16" s="61">
        <f>(C8*D8*0.1)+(C9*D9*0.1)</f>
        <v>19455.8</v>
      </c>
      <c r="D16" s="58">
        <v>15.96</v>
      </c>
      <c r="E16" s="13">
        <v>0</v>
      </c>
      <c r="F16" s="13">
        <v>0</v>
      </c>
      <c r="G16" s="15">
        <f>C16*D16</f>
        <v>310514.57</v>
      </c>
      <c r="H16" s="60">
        <f>C16</f>
        <v>19455.8</v>
      </c>
      <c r="I16" s="73"/>
      <c r="J16" s="59">
        <v>98.86</v>
      </c>
      <c r="K16" s="47">
        <v>0</v>
      </c>
      <c r="L16" s="15">
        <f>(H16*(I16+J16))+K16</f>
        <v>1923400.39</v>
      </c>
      <c r="M16" s="229"/>
      <c r="N16" s="253"/>
    </row>
    <row r="17" spans="1:14" ht="44.45" customHeight="1" x14ac:dyDescent="0.25">
      <c r="A17" s="11" t="s">
        <v>4</v>
      </c>
      <c r="B17" s="3" t="s">
        <v>175</v>
      </c>
      <c r="C17" s="214">
        <f>H10*I10*1.5</f>
        <v>378</v>
      </c>
      <c r="D17" s="58">
        <v>15.96</v>
      </c>
      <c r="E17" s="13">
        <v>0</v>
      </c>
      <c r="F17" s="13">
        <v>0</v>
      </c>
      <c r="G17" s="15">
        <f>C17*D17</f>
        <v>6032.88</v>
      </c>
      <c r="H17" s="60">
        <f>C17</f>
        <v>378</v>
      </c>
      <c r="I17" s="40"/>
      <c r="J17" s="59">
        <v>98.86</v>
      </c>
      <c r="K17" s="47">
        <v>0</v>
      </c>
      <c r="L17" s="215">
        <f>H17*J17</f>
        <v>37369.08</v>
      </c>
      <c r="M17" s="229"/>
      <c r="N17" s="253"/>
    </row>
    <row r="18" spans="1:14" ht="44.45" customHeight="1" thickBot="1" x14ac:dyDescent="0.3">
      <c r="A18" s="218" t="s">
        <v>5</v>
      </c>
      <c r="B18" s="219" t="s">
        <v>176</v>
      </c>
      <c r="C18" s="220">
        <f>C14</f>
        <v>1953.25</v>
      </c>
      <c r="D18" s="234">
        <v>15.96</v>
      </c>
      <c r="E18" s="16">
        <v>0</v>
      </c>
      <c r="F18" s="16">
        <v>0</v>
      </c>
      <c r="G18" s="77">
        <f>C18*D18</f>
        <v>31173.87</v>
      </c>
      <c r="H18" s="235">
        <f>C18</f>
        <v>1953.25</v>
      </c>
      <c r="I18" s="222"/>
      <c r="J18" s="236">
        <v>98.86</v>
      </c>
      <c r="K18" s="237">
        <v>0</v>
      </c>
      <c r="L18" s="221">
        <f>H18*J18</f>
        <v>193098.3</v>
      </c>
      <c r="M18" s="230"/>
      <c r="N18" s="254"/>
    </row>
    <row r="19" spans="1:14" ht="60.6" customHeight="1" x14ac:dyDescent="0.25">
      <c r="A19" s="29" t="s">
        <v>26</v>
      </c>
      <c r="B19" s="81" t="s">
        <v>7</v>
      </c>
      <c r="C19" s="52"/>
      <c r="D19" s="53"/>
      <c r="E19" s="53"/>
      <c r="F19" s="53"/>
      <c r="G19" s="216"/>
      <c r="H19" s="217"/>
      <c r="I19" s="53"/>
      <c r="J19" s="53"/>
      <c r="K19" s="53"/>
      <c r="L19" s="216"/>
      <c r="M19" s="184">
        <f>G21+G22+G24+G25+G27+G28+G30+G31+G33+L34</f>
        <v>1012636.02</v>
      </c>
      <c r="N19" s="253" t="s">
        <v>37</v>
      </c>
    </row>
    <row r="20" spans="1:14" ht="60.6" customHeight="1" x14ac:dyDescent="0.25">
      <c r="A20" s="29" t="s">
        <v>3</v>
      </c>
      <c r="B20" s="96" t="s">
        <v>95</v>
      </c>
      <c r="C20" s="93" t="s">
        <v>30</v>
      </c>
      <c r="D20" s="91" t="s">
        <v>91</v>
      </c>
      <c r="E20" s="91" t="s">
        <v>92</v>
      </c>
      <c r="F20" s="91" t="s">
        <v>93</v>
      </c>
      <c r="G20" s="94" t="s">
        <v>13</v>
      </c>
      <c r="H20" s="112"/>
      <c r="I20" s="90"/>
      <c r="J20" s="90"/>
      <c r="K20" s="91" t="s">
        <v>15</v>
      </c>
      <c r="L20" s="94" t="s">
        <v>13</v>
      </c>
      <c r="M20" s="184"/>
      <c r="N20" s="253"/>
    </row>
    <row r="21" spans="1:14" ht="47.45" customHeight="1" x14ac:dyDescent="0.25">
      <c r="A21" s="79" t="s">
        <v>87</v>
      </c>
      <c r="B21" s="82" t="s">
        <v>90</v>
      </c>
      <c r="C21" s="95">
        <v>25</v>
      </c>
      <c r="D21" s="62">
        <v>624</v>
      </c>
      <c r="E21" s="43">
        <v>0.05</v>
      </c>
      <c r="F21" s="92">
        <v>168</v>
      </c>
      <c r="G21" s="14">
        <f>C21*D21*E21*F21</f>
        <v>131040</v>
      </c>
      <c r="H21" s="112"/>
      <c r="I21" s="90"/>
      <c r="J21" s="90"/>
      <c r="K21" s="90"/>
      <c r="L21" s="107"/>
      <c r="M21" s="184"/>
      <c r="N21" s="253"/>
    </row>
    <row r="22" spans="1:14" ht="39.6" customHeight="1" x14ac:dyDescent="0.25">
      <c r="A22" s="79" t="s">
        <v>88</v>
      </c>
      <c r="B22" s="83" t="s">
        <v>94</v>
      </c>
      <c r="C22" s="66">
        <v>167</v>
      </c>
      <c r="D22" s="62">
        <v>528</v>
      </c>
      <c r="E22" s="43">
        <v>2.5000000000000001E-2</v>
      </c>
      <c r="F22" s="43">
        <v>42</v>
      </c>
      <c r="G22" s="14">
        <f>C22*D22*E22*F22</f>
        <v>92584.8</v>
      </c>
      <c r="H22" s="112"/>
      <c r="I22" s="90"/>
      <c r="J22" s="90"/>
      <c r="K22" s="90"/>
      <c r="L22" s="107"/>
      <c r="M22" s="184"/>
      <c r="N22" s="253"/>
    </row>
    <row r="23" spans="1:14" ht="48" customHeight="1" x14ac:dyDescent="0.25">
      <c r="A23" s="267" t="s">
        <v>101</v>
      </c>
      <c r="B23" s="265" t="s">
        <v>103</v>
      </c>
      <c r="C23" s="93" t="s">
        <v>105</v>
      </c>
      <c r="D23" s="91" t="s">
        <v>113</v>
      </c>
      <c r="E23" s="90"/>
      <c r="F23" s="91" t="s">
        <v>93</v>
      </c>
      <c r="G23" s="94" t="s">
        <v>13</v>
      </c>
      <c r="H23" s="112"/>
      <c r="I23" s="90"/>
      <c r="J23" s="90"/>
      <c r="K23" s="90"/>
      <c r="L23" s="107"/>
      <c r="M23" s="184"/>
      <c r="N23" s="253"/>
    </row>
    <row r="24" spans="1:14" ht="39.6" customHeight="1" x14ac:dyDescent="0.25">
      <c r="A24" s="268"/>
      <c r="B24" s="266"/>
      <c r="C24" s="66">
        <v>82</v>
      </c>
      <c r="D24" s="62">
        <v>7.08</v>
      </c>
      <c r="E24" s="43"/>
      <c r="F24" s="43">
        <v>21</v>
      </c>
      <c r="G24" s="14">
        <f>C24*D24*F24</f>
        <v>12191.76</v>
      </c>
      <c r="H24" s="112"/>
      <c r="I24" s="90"/>
      <c r="J24" s="90"/>
      <c r="K24" s="90"/>
      <c r="L24" s="107"/>
      <c r="M24" s="184"/>
      <c r="N24" s="253"/>
    </row>
    <row r="25" spans="1:14" ht="39.6" customHeight="1" x14ac:dyDescent="0.25">
      <c r="A25" s="79" t="s">
        <v>102</v>
      </c>
      <c r="B25" s="99" t="s">
        <v>104</v>
      </c>
      <c r="C25" s="66">
        <v>82</v>
      </c>
      <c r="D25" s="62">
        <v>7.08</v>
      </c>
      <c r="E25" s="43"/>
      <c r="F25" s="43">
        <v>21</v>
      </c>
      <c r="G25" s="14">
        <f>C25*D25*F25</f>
        <v>12191.76</v>
      </c>
      <c r="H25" s="112"/>
      <c r="I25" s="90"/>
      <c r="J25" s="90"/>
      <c r="K25" s="90"/>
      <c r="L25" s="107"/>
      <c r="M25" s="184"/>
      <c r="N25" s="253"/>
    </row>
    <row r="26" spans="1:14" ht="60.6" customHeight="1" x14ac:dyDescent="0.25">
      <c r="A26" s="29" t="s">
        <v>4</v>
      </c>
      <c r="B26" s="81" t="s">
        <v>96</v>
      </c>
      <c r="C26" s="93" t="s">
        <v>105</v>
      </c>
      <c r="D26" s="91" t="s">
        <v>113</v>
      </c>
      <c r="E26" s="90"/>
      <c r="F26" s="91" t="s">
        <v>93</v>
      </c>
      <c r="G26" s="94" t="s">
        <v>13</v>
      </c>
      <c r="H26" s="112"/>
      <c r="I26" s="90"/>
      <c r="J26" s="90"/>
      <c r="K26" s="90"/>
      <c r="L26" s="107"/>
      <c r="M26" s="184"/>
      <c r="N26" s="253"/>
    </row>
    <row r="27" spans="1:14" ht="34.15" customHeight="1" x14ac:dyDescent="0.25">
      <c r="A27" s="2" t="s">
        <v>98</v>
      </c>
      <c r="B27" s="83" t="s">
        <v>97</v>
      </c>
      <c r="C27" s="66">
        <v>60</v>
      </c>
      <c r="D27" s="62">
        <v>18</v>
      </c>
      <c r="E27" s="90"/>
      <c r="F27" s="43">
        <v>228</v>
      </c>
      <c r="G27" s="14">
        <f>C27*D27*F27</f>
        <v>246240</v>
      </c>
      <c r="H27" s="86"/>
      <c r="I27" s="78"/>
      <c r="J27" s="78"/>
      <c r="K27" s="78"/>
      <c r="L27" s="108"/>
      <c r="M27" s="184"/>
      <c r="N27" s="253"/>
    </row>
    <row r="28" spans="1:14" ht="64.150000000000006" customHeight="1" x14ac:dyDescent="0.25">
      <c r="A28" s="2" t="s">
        <v>99</v>
      </c>
      <c r="B28" s="84" t="s">
        <v>100</v>
      </c>
      <c r="C28" s="42">
        <v>10</v>
      </c>
      <c r="D28" s="62">
        <v>28.2</v>
      </c>
      <c r="E28" s="90"/>
      <c r="F28" s="43">
        <v>21</v>
      </c>
      <c r="G28" s="14">
        <f>C28*D28*F28</f>
        <v>5922</v>
      </c>
      <c r="H28" s="86"/>
      <c r="I28" s="78"/>
      <c r="J28" s="78"/>
      <c r="K28" s="78"/>
      <c r="L28" s="108"/>
      <c r="M28" s="184"/>
      <c r="N28" s="253"/>
    </row>
    <row r="29" spans="1:14" ht="46.9" customHeight="1" x14ac:dyDescent="0.25">
      <c r="A29" s="100" t="s">
        <v>5</v>
      </c>
      <c r="B29" s="101" t="s">
        <v>106</v>
      </c>
      <c r="C29" s="93" t="s">
        <v>105</v>
      </c>
      <c r="D29" s="91" t="s">
        <v>112</v>
      </c>
      <c r="E29" s="102" t="s">
        <v>110</v>
      </c>
      <c r="F29" s="102" t="s">
        <v>111</v>
      </c>
      <c r="G29" s="103" t="s">
        <v>13</v>
      </c>
      <c r="H29" s="86"/>
      <c r="I29" s="78"/>
      <c r="J29" s="78"/>
      <c r="K29" s="78"/>
      <c r="L29" s="108"/>
      <c r="M29" s="184"/>
      <c r="N29" s="253"/>
    </row>
    <row r="30" spans="1:14" ht="46.9" customHeight="1" x14ac:dyDescent="0.25">
      <c r="A30" s="11" t="s">
        <v>107</v>
      </c>
      <c r="B30" s="85" t="s">
        <v>109</v>
      </c>
      <c r="C30" s="42">
        <v>82</v>
      </c>
      <c r="D30" s="62">
        <v>148.19999999999999</v>
      </c>
      <c r="E30" s="43">
        <v>0.5</v>
      </c>
      <c r="F30" s="43">
        <v>21</v>
      </c>
      <c r="G30" s="14">
        <f>C30*D30*E30*F30</f>
        <v>127600.2</v>
      </c>
      <c r="H30" s="86"/>
      <c r="I30" s="78"/>
      <c r="J30" s="78"/>
      <c r="K30" s="78"/>
      <c r="L30" s="108"/>
      <c r="M30" s="184"/>
      <c r="N30" s="253"/>
    </row>
    <row r="31" spans="1:14" ht="46.9" customHeight="1" x14ac:dyDescent="0.25">
      <c r="A31" s="11" t="s">
        <v>108</v>
      </c>
      <c r="B31" s="85" t="s">
        <v>114</v>
      </c>
      <c r="C31" s="42">
        <v>82</v>
      </c>
      <c r="D31" s="62">
        <v>52.32</v>
      </c>
      <c r="E31" s="43">
        <v>0.1</v>
      </c>
      <c r="F31" s="43">
        <v>21</v>
      </c>
      <c r="G31" s="14">
        <f>C31*D31*E31*F31</f>
        <v>9009.5</v>
      </c>
      <c r="H31" s="86"/>
      <c r="I31" s="78"/>
      <c r="J31" s="78"/>
      <c r="K31" s="78"/>
      <c r="L31" s="108"/>
      <c r="M31" s="184"/>
      <c r="N31" s="253"/>
    </row>
    <row r="32" spans="1:14" ht="46.9" customHeight="1" x14ac:dyDescent="0.25">
      <c r="A32" s="275" t="s">
        <v>27</v>
      </c>
      <c r="B32" s="273" t="s">
        <v>115</v>
      </c>
      <c r="C32" s="239" t="s">
        <v>116</v>
      </c>
      <c r="D32" s="240" t="s">
        <v>117</v>
      </c>
      <c r="E32" s="90"/>
      <c r="F32" s="91" t="s">
        <v>93</v>
      </c>
      <c r="G32" s="103" t="s">
        <v>13</v>
      </c>
      <c r="H32" s="86"/>
      <c r="I32" s="78"/>
      <c r="J32" s="78"/>
      <c r="K32" s="78"/>
      <c r="L32" s="108"/>
      <c r="M32" s="184"/>
      <c r="N32" s="253"/>
    </row>
    <row r="33" spans="1:14" ht="46.9" customHeight="1" x14ac:dyDescent="0.25">
      <c r="A33" s="276"/>
      <c r="B33" s="274"/>
      <c r="C33" s="42">
        <v>100</v>
      </c>
      <c r="D33" s="62">
        <v>1.44</v>
      </c>
      <c r="E33" s="90"/>
      <c r="F33" s="43">
        <v>249</v>
      </c>
      <c r="G33" s="14">
        <f>C33*D33*F33</f>
        <v>35856</v>
      </c>
      <c r="H33" s="86"/>
      <c r="I33" s="78"/>
      <c r="J33" s="78"/>
      <c r="K33" s="78"/>
      <c r="L33" s="108"/>
      <c r="M33" s="184"/>
      <c r="N33" s="253"/>
    </row>
    <row r="34" spans="1:14" ht="46.9" customHeight="1" thickBot="1" x14ac:dyDescent="0.3">
      <c r="A34" s="105" t="s">
        <v>119</v>
      </c>
      <c r="B34" s="104" t="s">
        <v>118</v>
      </c>
      <c r="C34" s="109"/>
      <c r="D34" s="110"/>
      <c r="E34" s="110"/>
      <c r="F34" s="110"/>
      <c r="G34" s="114"/>
      <c r="H34" s="113"/>
      <c r="I34" s="110"/>
      <c r="J34" s="110"/>
      <c r="K34" s="111">
        <v>340000</v>
      </c>
      <c r="L34" s="80">
        <f>K34</f>
        <v>340000</v>
      </c>
      <c r="M34" s="185"/>
      <c r="N34" s="253"/>
    </row>
    <row r="35" spans="1:14" ht="34.15" customHeight="1" thickBot="1" x14ac:dyDescent="0.3">
      <c r="A35" s="250" t="s">
        <v>36</v>
      </c>
      <c r="B35" s="251"/>
      <c r="C35" s="87"/>
      <c r="D35" s="88"/>
      <c r="E35" s="88"/>
      <c r="F35" s="88"/>
      <c r="G35" s="89">
        <f>G7+G10+G11+G12+G16+G21+G22+G24+G25+G27+G28+G30+G31+G33</f>
        <v>2033763.79</v>
      </c>
      <c r="H35" s="88"/>
      <c r="I35" s="88"/>
      <c r="J35" s="88"/>
      <c r="K35" s="88"/>
      <c r="L35" s="89">
        <f>L7+L10+L11+L12+L16+L34</f>
        <v>2296724.39</v>
      </c>
      <c r="M35" s="188">
        <f>M6+M15+M19</f>
        <v>4696606.1100000003</v>
      </c>
      <c r="N35" s="50"/>
    </row>
    <row r="37" spans="1:14" x14ac:dyDescent="0.25">
      <c r="M37" s="51"/>
    </row>
  </sheetData>
  <mergeCells count="20">
    <mergeCell ref="N6:N14"/>
    <mergeCell ref="N15:N18"/>
    <mergeCell ref="B32:B33"/>
    <mergeCell ref="A32:A33"/>
    <mergeCell ref="A35:B35"/>
    <mergeCell ref="A1:N1"/>
    <mergeCell ref="A2:N2"/>
    <mergeCell ref="A3:N3"/>
    <mergeCell ref="C5:G5"/>
    <mergeCell ref="H5:L5"/>
    <mergeCell ref="H7:H9"/>
    <mergeCell ref="I7:I9"/>
    <mergeCell ref="J7:J9"/>
    <mergeCell ref="K7:K9"/>
    <mergeCell ref="L7:L9"/>
    <mergeCell ref="N19:N34"/>
    <mergeCell ref="B23:B24"/>
    <mergeCell ref="A23:A24"/>
    <mergeCell ref="B13:B14"/>
    <mergeCell ref="A13:A14"/>
  </mergeCells>
  <pageMargins left="0.7" right="0.7" top="0.75" bottom="0.75" header="0.3" footer="0.3"/>
  <pageSetup paperSize="9" scale="63" fitToHeight="0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121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61.9" customHeight="1" x14ac:dyDescent="0.25">
      <c r="A5" s="278" t="s">
        <v>135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5.4*364</f>
        <v>1965.6</v>
      </c>
    </row>
    <row r="13" spans="1:3" ht="15.75" customHeight="1" x14ac:dyDescent="0.25">
      <c r="A13" s="130"/>
      <c r="B13" s="124" t="s">
        <v>129</v>
      </c>
      <c r="C13" s="131"/>
    </row>
    <row r="14" spans="1:3" ht="16.5" customHeight="1" thickBot="1" x14ac:dyDescent="0.3">
      <c r="A14" s="132"/>
      <c r="B14" s="127" t="s">
        <v>130</v>
      </c>
      <c r="C14" s="133"/>
    </row>
    <row r="15" spans="1:3" ht="15.75" x14ac:dyDescent="0.25">
      <c r="A15" s="134" t="s">
        <v>5</v>
      </c>
      <c r="B15" s="129" t="s">
        <v>131</v>
      </c>
      <c r="C15" s="135">
        <f>36.4*114.82</f>
        <v>4179.45</v>
      </c>
    </row>
    <row r="16" spans="1:3" ht="35.25" customHeight="1" x14ac:dyDescent="0.25">
      <c r="A16" s="136"/>
      <c r="B16" s="124" t="s">
        <v>137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6332.55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138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82.5" customHeight="1" x14ac:dyDescent="0.25">
      <c r="A5" s="278" t="s">
        <v>140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5.4*182</f>
        <v>982.8</v>
      </c>
    </row>
    <row r="13" spans="1:3" ht="15.75" customHeight="1" x14ac:dyDescent="0.25">
      <c r="A13" s="130"/>
      <c r="B13" s="124" t="s">
        <v>129</v>
      </c>
      <c r="C13" s="131"/>
    </row>
    <row r="14" spans="1:3" ht="16.5" customHeight="1" thickBot="1" x14ac:dyDescent="0.3">
      <c r="A14" s="132"/>
      <c r="B14" s="127" t="s">
        <v>139</v>
      </c>
      <c r="C14" s="133"/>
    </row>
    <row r="15" spans="1:3" ht="15.75" x14ac:dyDescent="0.25">
      <c r="A15" s="134" t="s">
        <v>5</v>
      </c>
      <c r="B15" s="129" t="s">
        <v>131</v>
      </c>
      <c r="C15" s="135">
        <f>18.2*114.82</f>
        <v>2089.7199999999998</v>
      </c>
    </row>
    <row r="16" spans="1:3" ht="35.25" customHeight="1" x14ac:dyDescent="0.25">
      <c r="A16" s="136"/>
      <c r="B16" s="124" t="s">
        <v>141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3260.02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4"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142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82.5" customHeight="1" x14ac:dyDescent="0.25">
      <c r="A5" s="278" t="s">
        <v>144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5.4*156</f>
        <v>842.4</v>
      </c>
    </row>
    <row r="13" spans="1:3" ht="15.75" customHeight="1" x14ac:dyDescent="0.25">
      <c r="A13" s="130"/>
      <c r="B13" s="124" t="s">
        <v>129</v>
      </c>
      <c r="C13" s="131"/>
    </row>
    <row r="14" spans="1:3" ht="16.5" customHeight="1" thickBot="1" x14ac:dyDescent="0.3">
      <c r="A14" s="132"/>
      <c r="B14" s="127" t="s">
        <v>143</v>
      </c>
      <c r="C14" s="133"/>
    </row>
    <row r="15" spans="1:3" ht="15.75" x14ac:dyDescent="0.25">
      <c r="A15" s="134" t="s">
        <v>5</v>
      </c>
      <c r="B15" s="129" t="s">
        <v>131</v>
      </c>
      <c r="C15" s="135">
        <f>15.6*114.82</f>
        <v>1791.19</v>
      </c>
    </row>
    <row r="16" spans="1:3" ht="35.25" customHeight="1" x14ac:dyDescent="0.25">
      <c r="A16" s="136"/>
      <c r="B16" s="124" t="s">
        <v>145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2821.09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4" ht="15.75" x14ac:dyDescent="0.25">
      <c r="A1" s="244" t="s">
        <v>146</v>
      </c>
      <c r="B1" s="244"/>
      <c r="C1" s="244"/>
    </row>
    <row r="2" spans="1:4" ht="15.75" x14ac:dyDescent="0.25">
      <c r="A2" s="116"/>
      <c r="B2" s="116"/>
      <c r="C2" s="116"/>
      <c r="D2" s="115" t="s">
        <v>134</v>
      </c>
    </row>
    <row r="3" spans="1:4" ht="15.75" x14ac:dyDescent="0.25">
      <c r="A3" s="277" t="s">
        <v>122</v>
      </c>
      <c r="B3" s="277"/>
      <c r="C3" s="277"/>
      <c r="D3" s="115" t="s">
        <v>134</v>
      </c>
    </row>
    <row r="4" spans="1:4" ht="15.75" x14ac:dyDescent="0.25">
      <c r="A4" s="117"/>
      <c r="B4" s="117"/>
      <c r="C4" s="117"/>
    </row>
    <row r="5" spans="1:4" ht="82.9" customHeight="1" x14ac:dyDescent="0.25">
      <c r="A5" s="278" t="s">
        <v>149</v>
      </c>
      <c r="B5" s="278"/>
      <c r="C5" s="278"/>
    </row>
    <row r="6" spans="1:4" ht="15.75" x14ac:dyDescent="0.25">
      <c r="A6" s="277"/>
      <c r="B6" s="277"/>
      <c r="C6" s="277"/>
    </row>
    <row r="7" spans="1:4" ht="15.75" thickBot="1" x14ac:dyDescent="0.25"/>
    <row r="8" spans="1:4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4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4" ht="15.75" x14ac:dyDescent="0.2">
      <c r="A10" s="123"/>
      <c r="B10" s="124" t="s">
        <v>126</v>
      </c>
      <c r="C10" s="125"/>
    </row>
    <row r="11" spans="1:4" ht="16.5" thickBot="1" x14ac:dyDescent="0.25">
      <c r="A11" s="126"/>
      <c r="B11" s="127" t="s">
        <v>127</v>
      </c>
      <c r="C11" s="128"/>
    </row>
    <row r="12" spans="1:4" ht="31.5" x14ac:dyDescent="0.25">
      <c r="A12" s="120" t="s">
        <v>4</v>
      </c>
      <c r="B12" s="129" t="s">
        <v>128</v>
      </c>
      <c r="C12" s="122">
        <f>8.16*28</f>
        <v>228.48</v>
      </c>
    </row>
    <row r="13" spans="1:4" ht="15.75" customHeight="1" x14ac:dyDescent="0.25">
      <c r="A13" s="130"/>
      <c r="B13" s="124" t="s">
        <v>147</v>
      </c>
      <c r="C13" s="131"/>
    </row>
    <row r="14" spans="1:4" ht="16.5" customHeight="1" thickBot="1" x14ac:dyDescent="0.3">
      <c r="A14" s="132"/>
      <c r="B14" s="127" t="s">
        <v>148</v>
      </c>
      <c r="C14" s="133"/>
    </row>
    <row r="15" spans="1:4" ht="15.75" x14ac:dyDescent="0.25">
      <c r="A15" s="134" t="s">
        <v>5</v>
      </c>
      <c r="B15" s="129" t="s">
        <v>131</v>
      </c>
      <c r="C15" s="135">
        <f>4.48*114.82</f>
        <v>514.39</v>
      </c>
    </row>
    <row r="16" spans="1:4" ht="35.25" customHeight="1" x14ac:dyDescent="0.25">
      <c r="A16" s="136"/>
      <c r="B16" s="124" t="s">
        <v>150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930.37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E1" sqref="E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4" ht="15.75" x14ac:dyDescent="0.25">
      <c r="A1" s="244" t="s">
        <v>151</v>
      </c>
      <c r="B1" s="244"/>
      <c r="C1" s="244"/>
    </row>
    <row r="2" spans="1:4" ht="15.75" x14ac:dyDescent="0.25">
      <c r="A2" s="116"/>
      <c r="B2" s="116"/>
      <c r="C2" s="116"/>
      <c r="D2" s="115" t="s">
        <v>134</v>
      </c>
    </row>
    <row r="3" spans="1:4" ht="15.75" x14ac:dyDescent="0.25">
      <c r="A3" s="277" t="s">
        <v>122</v>
      </c>
      <c r="B3" s="277"/>
      <c r="C3" s="277"/>
      <c r="D3" s="115" t="s">
        <v>134</v>
      </c>
    </row>
    <row r="4" spans="1:4" ht="15.75" x14ac:dyDescent="0.25">
      <c r="A4" s="117"/>
      <c r="B4" s="117"/>
      <c r="C4" s="117"/>
    </row>
    <row r="5" spans="1:4" ht="82.9" customHeight="1" x14ac:dyDescent="0.25">
      <c r="A5" s="278" t="s">
        <v>153</v>
      </c>
      <c r="B5" s="278"/>
      <c r="C5" s="278"/>
    </row>
    <row r="6" spans="1:4" ht="15.75" x14ac:dyDescent="0.25">
      <c r="A6" s="277"/>
      <c r="B6" s="277"/>
      <c r="C6" s="277"/>
    </row>
    <row r="7" spans="1:4" ht="15.75" thickBot="1" x14ac:dyDescent="0.25"/>
    <row r="8" spans="1:4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4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4" ht="15.75" x14ac:dyDescent="0.2">
      <c r="A10" s="123"/>
      <c r="B10" s="124" t="s">
        <v>126</v>
      </c>
      <c r="C10" s="125"/>
    </row>
    <row r="11" spans="1:4" ht="16.5" thickBot="1" x14ac:dyDescent="0.25">
      <c r="A11" s="126"/>
      <c r="B11" s="127" t="s">
        <v>127</v>
      </c>
      <c r="C11" s="128"/>
    </row>
    <row r="12" spans="1:4" ht="31.5" x14ac:dyDescent="0.25">
      <c r="A12" s="120" t="s">
        <v>4</v>
      </c>
      <c r="B12" s="129" t="s">
        <v>128</v>
      </c>
      <c r="C12" s="122">
        <f>9.78*28</f>
        <v>273.83999999999997</v>
      </c>
    </row>
    <row r="13" spans="1:4" ht="15.75" customHeight="1" x14ac:dyDescent="0.25">
      <c r="A13" s="130"/>
      <c r="B13" s="124" t="s">
        <v>152</v>
      </c>
      <c r="C13" s="131"/>
    </row>
    <row r="14" spans="1:4" ht="16.5" customHeight="1" thickBot="1" x14ac:dyDescent="0.3">
      <c r="A14" s="132"/>
      <c r="B14" s="127" t="s">
        <v>148</v>
      </c>
      <c r="C14" s="133"/>
    </row>
    <row r="15" spans="1:4" ht="15.75" x14ac:dyDescent="0.25">
      <c r="A15" s="134" t="s">
        <v>5</v>
      </c>
      <c r="B15" s="129" t="s">
        <v>131</v>
      </c>
      <c r="C15" s="135">
        <f>4.48*114.82</f>
        <v>514.39</v>
      </c>
    </row>
    <row r="16" spans="1:4" ht="35.25" customHeight="1" x14ac:dyDescent="0.25">
      <c r="A16" s="136"/>
      <c r="B16" s="124" t="s">
        <v>150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975.73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154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82.5" customHeight="1" x14ac:dyDescent="0.25">
      <c r="A5" s="278" t="s">
        <v>156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9.78*30</f>
        <v>293.39999999999998</v>
      </c>
    </row>
    <row r="13" spans="1:3" ht="15.75" customHeight="1" x14ac:dyDescent="0.25">
      <c r="A13" s="130"/>
      <c r="B13" s="124" t="s">
        <v>152</v>
      </c>
      <c r="C13" s="131"/>
    </row>
    <row r="14" spans="1:3" ht="16.5" customHeight="1" thickBot="1" x14ac:dyDescent="0.3">
      <c r="A14" s="132"/>
      <c r="B14" s="127" t="s">
        <v>155</v>
      </c>
      <c r="C14" s="133"/>
    </row>
    <row r="15" spans="1:3" ht="15.75" x14ac:dyDescent="0.25">
      <c r="A15" s="134" t="s">
        <v>5</v>
      </c>
      <c r="B15" s="129" t="s">
        <v>131</v>
      </c>
      <c r="C15" s="135">
        <f>4.8*114.82</f>
        <v>551.14</v>
      </c>
    </row>
    <row r="16" spans="1:3" ht="35.25" customHeight="1" x14ac:dyDescent="0.25">
      <c r="A16" s="136"/>
      <c r="B16" s="124" t="s">
        <v>157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1032.04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B11" sqref="B11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4.140625" customWidth="1"/>
    <col min="9" max="9" width="12.7109375" customWidth="1"/>
    <col min="10" max="10" width="15.28515625" customWidth="1"/>
    <col min="11" max="11" width="12.85546875" customWidth="1"/>
    <col min="12" max="13" width="13" customWidth="1"/>
    <col min="14" max="14" width="9.5703125" customWidth="1"/>
  </cols>
  <sheetData>
    <row r="1" spans="1:15" x14ac:dyDescent="0.25">
      <c r="A1" s="248" t="s">
        <v>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41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17321.84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42">
        <v>48</v>
      </c>
      <c r="D7" s="43">
        <v>36</v>
      </c>
      <c r="E7" s="58">
        <v>9.7799999999999994</v>
      </c>
      <c r="F7" s="13">
        <v>0</v>
      </c>
      <c r="G7" s="14">
        <f>(C7*D7*E7)+F7</f>
        <v>16899.84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44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2</v>
      </c>
      <c r="J8" s="58">
        <v>37</v>
      </c>
      <c r="K8" s="13">
        <v>0</v>
      </c>
      <c r="L8" s="15">
        <f t="shared" ref="L8:L9" si="1">(H8*I8*J8)+K8</f>
        <v>222</v>
      </c>
      <c r="M8" s="184"/>
      <c r="N8" s="253"/>
    </row>
    <row r="9" spans="1:15" ht="60.75" thickBot="1" x14ac:dyDescent="0.3">
      <c r="A9" s="11" t="s">
        <v>5</v>
      </c>
      <c r="B9" s="71" t="s">
        <v>11</v>
      </c>
      <c r="C9" s="72"/>
      <c r="D9" s="73"/>
      <c r="E9" s="73"/>
      <c r="F9" s="196">
        <v>0</v>
      </c>
      <c r="G9" s="202">
        <f t="shared" si="0"/>
        <v>0</v>
      </c>
      <c r="H9" s="203"/>
      <c r="I9" s="198"/>
      <c r="J9" s="198"/>
      <c r="K9" s="204">
        <v>200</v>
      </c>
      <c r="L9" s="205">
        <f t="shared" si="1"/>
        <v>200</v>
      </c>
      <c r="M9" s="185"/>
      <c r="N9" s="254"/>
    </row>
    <row r="10" spans="1:15" ht="77.45" customHeight="1" x14ac:dyDescent="0.25">
      <c r="A10" s="22" t="s">
        <v>25</v>
      </c>
      <c r="B10" s="208" t="s">
        <v>6</v>
      </c>
      <c r="C10" s="24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10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99">
        <f>G11+G12+G13+L11+L12+L13</f>
        <v>27972.9</v>
      </c>
      <c r="N10" s="252" t="s">
        <v>37</v>
      </c>
    </row>
    <row r="11" spans="1:15" ht="45" customHeight="1" x14ac:dyDescent="0.25">
      <c r="A11" s="2" t="s">
        <v>3</v>
      </c>
      <c r="B11" s="5" t="s">
        <v>174</v>
      </c>
      <c r="C11" s="206">
        <f>C7*D7*0.129955</f>
        <v>224.56</v>
      </c>
      <c r="D11" s="58">
        <v>15.96</v>
      </c>
      <c r="E11" s="13">
        <v>0</v>
      </c>
      <c r="F11" s="13">
        <v>0</v>
      </c>
      <c r="G11" s="15">
        <f>C11*D11</f>
        <v>3583.98</v>
      </c>
      <c r="H11" s="211">
        <f>C11</f>
        <v>224.56</v>
      </c>
      <c r="I11" s="47">
        <v>0</v>
      </c>
      <c r="J11" s="59">
        <v>98.86</v>
      </c>
      <c r="K11" s="47">
        <v>0</v>
      </c>
      <c r="L11" s="15">
        <f>H11*J11+K11</f>
        <v>22200</v>
      </c>
      <c r="M11" s="200"/>
      <c r="N11" s="253"/>
    </row>
    <row r="12" spans="1:15" ht="43.9" customHeight="1" x14ac:dyDescent="0.25">
      <c r="A12" s="2" t="s">
        <v>4</v>
      </c>
      <c r="B12" s="190" t="s">
        <v>175</v>
      </c>
      <c r="C12" s="206">
        <f>H8*I8*1</f>
        <v>6</v>
      </c>
      <c r="D12" s="58">
        <v>15.96</v>
      </c>
      <c r="E12" s="13">
        <v>0</v>
      </c>
      <c r="F12" s="13">
        <v>0</v>
      </c>
      <c r="G12" s="15">
        <f>C12*D12</f>
        <v>95.76</v>
      </c>
      <c r="H12" s="211">
        <f>C12</f>
        <v>6</v>
      </c>
      <c r="I12" s="36"/>
      <c r="J12" s="59">
        <v>98.86</v>
      </c>
      <c r="K12" s="47">
        <v>0</v>
      </c>
      <c r="L12" s="15">
        <f>H12*J12</f>
        <v>593.16</v>
      </c>
      <c r="M12" s="200"/>
      <c r="N12" s="253"/>
    </row>
    <row r="13" spans="1:15" ht="46.9" customHeight="1" thickBot="1" x14ac:dyDescent="0.3">
      <c r="A13" s="7" t="s">
        <v>5</v>
      </c>
      <c r="B13" s="209" t="s">
        <v>16</v>
      </c>
      <c r="C13" s="34"/>
      <c r="D13" s="34"/>
      <c r="E13" s="34"/>
      <c r="F13" s="41"/>
      <c r="G13" s="77">
        <f>C13*(D13+E13)</f>
        <v>0</v>
      </c>
      <c r="H13" s="213"/>
      <c r="I13" s="34"/>
      <c r="J13" s="34"/>
      <c r="K13" s="16">
        <v>1500</v>
      </c>
      <c r="L13" s="77">
        <f>(H13*(I13+J13))+K13</f>
        <v>1500</v>
      </c>
      <c r="M13" s="201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76" t="s">
        <v>13</v>
      </c>
      <c r="H14" s="52"/>
      <c r="I14" s="53"/>
      <c r="J14" s="53"/>
      <c r="K14" s="32" t="s">
        <v>38</v>
      </c>
      <c r="L14" s="76" t="s">
        <v>13</v>
      </c>
      <c r="M14" s="183">
        <f>G15+G16+G17+L15+L16+L17+L18</f>
        <v>9270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42">
        <v>15</v>
      </c>
      <c r="D15" s="62">
        <v>528</v>
      </c>
      <c r="E15" s="43">
        <v>2.5000000000000001E-2</v>
      </c>
      <c r="F15" s="43">
        <v>8</v>
      </c>
      <c r="G15" s="14">
        <f>C15*D15*E15*F15</f>
        <v>1584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64">
        <v>7486</v>
      </c>
      <c r="L16" s="46">
        <f t="shared" si="2"/>
        <v>7486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22163.58</v>
      </c>
      <c r="H19" s="49"/>
      <c r="I19" s="49"/>
      <c r="J19" s="49"/>
      <c r="K19" s="49"/>
      <c r="L19" s="50">
        <f>L7+L8+L9+L11+L12+L13+L15+L16+L17+L18</f>
        <v>32401.16</v>
      </c>
      <c r="M19" s="188">
        <f>M6+M10+M14</f>
        <v>54564.74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E24" sqref="E24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158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82.15" customHeight="1" x14ac:dyDescent="0.25">
      <c r="A5" s="278" t="s">
        <v>160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9.78*34</f>
        <v>332.52</v>
      </c>
    </row>
    <row r="13" spans="1:3" ht="15.75" customHeight="1" x14ac:dyDescent="0.25">
      <c r="A13" s="130"/>
      <c r="B13" s="124" t="s">
        <v>152</v>
      </c>
      <c r="C13" s="131"/>
    </row>
    <row r="14" spans="1:3" ht="16.5" customHeight="1" thickBot="1" x14ac:dyDescent="0.3">
      <c r="A14" s="132"/>
      <c r="B14" s="127" t="s">
        <v>159</v>
      </c>
      <c r="C14" s="133"/>
    </row>
    <row r="15" spans="1:3" ht="15.75" x14ac:dyDescent="0.25">
      <c r="A15" s="134" t="s">
        <v>5</v>
      </c>
      <c r="B15" s="129" t="s">
        <v>131</v>
      </c>
      <c r="C15" s="135">
        <f>5.44*114.82</f>
        <v>624.62</v>
      </c>
    </row>
    <row r="16" spans="1:3" ht="35.25" customHeight="1" x14ac:dyDescent="0.25">
      <c r="A16" s="136"/>
      <c r="B16" s="124" t="s">
        <v>161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1144.6400000000001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162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106.9" customHeight="1" x14ac:dyDescent="0.25">
      <c r="A5" s="278" t="s">
        <v>164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8.16*36</f>
        <v>293.76</v>
      </c>
    </row>
    <row r="13" spans="1:3" ht="15.75" customHeight="1" x14ac:dyDescent="0.25">
      <c r="A13" s="130"/>
      <c r="B13" s="124" t="s">
        <v>147</v>
      </c>
      <c r="C13" s="131"/>
    </row>
    <row r="14" spans="1:3" ht="16.5" customHeight="1" thickBot="1" x14ac:dyDescent="0.3">
      <c r="A14" s="132"/>
      <c r="B14" s="127" t="s">
        <v>163</v>
      </c>
      <c r="C14" s="133"/>
    </row>
    <row r="15" spans="1:3" ht="15.75" x14ac:dyDescent="0.25">
      <c r="A15" s="134" t="s">
        <v>5</v>
      </c>
      <c r="B15" s="129" t="s">
        <v>131</v>
      </c>
      <c r="C15" s="135">
        <f>5.76*114.82</f>
        <v>661.36</v>
      </c>
    </row>
    <row r="16" spans="1:3" ht="35.25" customHeight="1" x14ac:dyDescent="0.25">
      <c r="A16" s="136"/>
      <c r="B16" s="124" t="s">
        <v>165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1142.6199999999999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defaultColWidth="9.28515625" defaultRowHeight="15" x14ac:dyDescent="0.2"/>
  <cols>
    <col min="1" max="1" width="4.5703125" style="115" customWidth="1"/>
    <col min="2" max="2" width="62.5703125" style="115" customWidth="1"/>
    <col min="3" max="3" width="15.28515625" style="115" customWidth="1"/>
    <col min="4" max="256" width="9.28515625" style="115"/>
    <col min="257" max="257" width="4.5703125" style="115" customWidth="1"/>
    <col min="258" max="258" width="62.5703125" style="115" customWidth="1"/>
    <col min="259" max="259" width="15.28515625" style="115" customWidth="1"/>
    <col min="260" max="512" width="9.28515625" style="115"/>
    <col min="513" max="513" width="4.5703125" style="115" customWidth="1"/>
    <col min="514" max="514" width="62.5703125" style="115" customWidth="1"/>
    <col min="515" max="515" width="15.28515625" style="115" customWidth="1"/>
    <col min="516" max="768" width="9.28515625" style="115"/>
    <col min="769" max="769" width="4.5703125" style="115" customWidth="1"/>
    <col min="770" max="770" width="62.5703125" style="115" customWidth="1"/>
    <col min="771" max="771" width="15.28515625" style="115" customWidth="1"/>
    <col min="772" max="1024" width="9.28515625" style="115"/>
    <col min="1025" max="1025" width="4.5703125" style="115" customWidth="1"/>
    <col min="1026" max="1026" width="62.5703125" style="115" customWidth="1"/>
    <col min="1027" max="1027" width="15.28515625" style="115" customWidth="1"/>
    <col min="1028" max="1280" width="9.28515625" style="115"/>
    <col min="1281" max="1281" width="4.5703125" style="115" customWidth="1"/>
    <col min="1282" max="1282" width="62.5703125" style="115" customWidth="1"/>
    <col min="1283" max="1283" width="15.28515625" style="115" customWidth="1"/>
    <col min="1284" max="1536" width="9.28515625" style="115"/>
    <col min="1537" max="1537" width="4.5703125" style="115" customWidth="1"/>
    <col min="1538" max="1538" width="62.5703125" style="115" customWidth="1"/>
    <col min="1539" max="1539" width="15.28515625" style="115" customWidth="1"/>
    <col min="1540" max="1792" width="9.28515625" style="115"/>
    <col min="1793" max="1793" width="4.5703125" style="115" customWidth="1"/>
    <col min="1794" max="1794" width="62.5703125" style="115" customWidth="1"/>
    <col min="1795" max="1795" width="15.28515625" style="115" customWidth="1"/>
    <col min="1796" max="2048" width="9.28515625" style="115"/>
    <col min="2049" max="2049" width="4.5703125" style="115" customWidth="1"/>
    <col min="2050" max="2050" width="62.5703125" style="115" customWidth="1"/>
    <col min="2051" max="2051" width="15.28515625" style="115" customWidth="1"/>
    <col min="2052" max="2304" width="9.28515625" style="115"/>
    <col min="2305" max="2305" width="4.5703125" style="115" customWidth="1"/>
    <col min="2306" max="2306" width="62.5703125" style="115" customWidth="1"/>
    <col min="2307" max="2307" width="15.28515625" style="115" customWidth="1"/>
    <col min="2308" max="2560" width="9.28515625" style="115"/>
    <col min="2561" max="2561" width="4.5703125" style="115" customWidth="1"/>
    <col min="2562" max="2562" width="62.5703125" style="115" customWidth="1"/>
    <col min="2563" max="2563" width="15.28515625" style="115" customWidth="1"/>
    <col min="2564" max="2816" width="9.28515625" style="115"/>
    <col min="2817" max="2817" width="4.5703125" style="115" customWidth="1"/>
    <col min="2818" max="2818" width="62.5703125" style="115" customWidth="1"/>
    <col min="2819" max="2819" width="15.28515625" style="115" customWidth="1"/>
    <col min="2820" max="3072" width="9.28515625" style="115"/>
    <col min="3073" max="3073" width="4.5703125" style="115" customWidth="1"/>
    <col min="3074" max="3074" width="62.5703125" style="115" customWidth="1"/>
    <col min="3075" max="3075" width="15.28515625" style="115" customWidth="1"/>
    <col min="3076" max="3328" width="9.28515625" style="115"/>
    <col min="3329" max="3329" width="4.5703125" style="115" customWidth="1"/>
    <col min="3330" max="3330" width="62.5703125" style="115" customWidth="1"/>
    <col min="3331" max="3331" width="15.28515625" style="115" customWidth="1"/>
    <col min="3332" max="3584" width="9.28515625" style="115"/>
    <col min="3585" max="3585" width="4.5703125" style="115" customWidth="1"/>
    <col min="3586" max="3586" width="62.5703125" style="115" customWidth="1"/>
    <col min="3587" max="3587" width="15.28515625" style="115" customWidth="1"/>
    <col min="3588" max="3840" width="9.28515625" style="115"/>
    <col min="3841" max="3841" width="4.5703125" style="115" customWidth="1"/>
    <col min="3842" max="3842" width="62.5703125" style="115" customWidth="1"/>
    <col min="3843" max="3843" width="15.28515625" style="115" customWidth="1"/>
    <col min="3844" max="4096" width="9.28515625" style="115"/>
    <col min="4097" max="4097" width="4.5703125" style="115" customWidth="1"/>
    <col min="4098" max="4098" width="62.5703125" style="115" customWidth="1"/>
    <col min="4099" max="4099" width="15.28515625" style="115" customWidth="1"/>
    <col min="4100" max="4352" width="9.28515625" style="115"/>
    <col min="4353" max="4353" width="4.5703125" style="115" customWidth="1"/>
    <col min="4354" max="4354" width="62.5703125" style="115" customWidth="1"/>
    <col min="4355" max="4355" width="15.28515625" style="115" customWidth="1"/>
    <col min="4356" max="4608" width="9.28515625" style="115"/>
    <col min="4609" max="4609" width="4.5703125" style="115" customWidth="1"/>
    <col min="4610" max="4610" width="62.5703125" style="115" customWidth="1"/>
    <col min="4611" max="4611" width="15.28515625" style="115" customWidth="1"/>
    <col min="4612" max="4864" width="9.28515625" style="115"/>
    <col min="4865" max="4865" width="4.5703125" style="115" customWidth="1"/>
    <col min="4866" max="4866" width="62.5703125" style="115" customWidth="1"/>
    <col min="4867" max="4867" width="15.28515625" style="115" customWidth="1"/>
    <col min="4868" max="5120" width="9.28515625" style="115"/>
    <col min="5121" max="5121" width="4.5703125" style="115" customWidth="1"/>
    <col min="5122" max="5122" width="62.5703125" style="115" customWidth="1"/>
    <col min="5123" max="5123" width="15.28515625" style="115" customWidth="1"/>
    <col min="5124" max="5376" width="9.28515625" style="115"/>
    <col min="5377" max="5377" width="4.5703125" style="115" customWidth="1"/>
    <col min="5378" max="5378" width="62.5703125" style="115" customWidth="1"/>
    <col min="5379" max="5379" width="15.28515625" style="115" customWidth="1"/>
    <col min="5380" max="5632" width="9.28515625" style="115"/>
    <col min="5633" max="5633" width="4.5703125" style="115" customWidth="1"/>
    <col min="5634" max="5634" width="62.5703125" style="115" customWidth="1"/>
    <col min="5635" max="5635" width="15.28515625" style="115" customWidth="1"/>
    <col min="5636" max="5888" width="9.28515625" style="115"/>
    <col min="5889" max="5889" width="4.5703125" style="115" customWidth="1"/>
    <col min="5890" max="5890" width="62.5703125" style="115" customWidth="1"/>
    <col min="5891" max="5891" width="15.28515625" style="115" customWidth="1"/>
    <col min="5892" max="6144" width="9.28515625" style="115"/>
    <col min="6145" max="6145" width="4.5703125" style="115" customWidth="1"/>
    <col min="6146" max="6146" width="62.5703125" style="115" customWidth="1"/>
    <col min="6147" max="6147" width="15.28515625" style="115" customWidth="1"/>
    <col min="6148" max="6400" width="9.28515625" style="115"/>
    <col min="6401" max="6401" width="4.5703125" style="115" customWidth="1"/>
    <col min="6402" max="6402" width="62.5703125" style="115" customWidth="1"/>
    <col min="6403" max="6403" width="15.28515625" style="115" customWidth="1"/>
    <col min="6404" max="6656" width="9.28515625" style="115"/>
    <col min="6657" max="6657" width="4.5703125" style="115" customWidth="1"/>
    <col min="6658" max="6658" width="62.5703125" style="115" customWidth="1"/>
    <col min="6659" max="6659" width="15.28515625" style="115" customWidth="1"/>
    <col min="6660" max="6912" width="9.28515625" style="115"/>
    <col min="6913" max="6913" width="4.5703125" style="115" customWidth="1"/>
    <col min="6914" max="6914" width="62.5703125" style="115" customWidth="1"/>
    <col min="6915" max="6915" width="15.28515625" style="115" customWidth="1"/>
    <col min="6916" max="7168" width="9.28515625" style="115"/>
    <col min="7169" max="7169" width="4.5703125" style="115" customWidth="1"/>
    <col min="7170" max="7170" width="62.5703125" style="115" customWidth="1"/>
    <col min="7171" max="7171" width="15.28515625" style="115" customWidth="1"/>
    <col min="7172" max="7424" width="9.28515625" style="115"/>
    <col min="7425" max="7425" width="4.5703125" style="115" customWidth="1"/>
    <col min="7426" max="7426" width="62.5703125" style="115" customWidth="1"/>
    <col min="7427" max="7427" width="15.28515625" style="115" customWidth="1"/>
    <col min="7428" max="7680" width="9.28515625" style="115"/>
    <col min="7681" max="7681" width="4.5703125" style="115" customWidth="1"/>
    <col min="7682" max="7682" width="62.5703125" style="115" customWidth="1"/>
    <col min="7683" max="7683" width="15.28515625" style="115" customWidth="1"/>
    <col min="7684" max="7936" width="9.28515625" style="115"/>
    <col min="7937" max="7937" width="4.5703125" style="115" customWidth="1"/>
    <col min="7938" max="7938" width="62.5703125" style="115" customWidth="1"/>
    <col min="7939" max="7939" width="15.28515625" style="115" customWidth="1"/>
    <col min="7940" max="8192" width="9.28515625" style="115"/>
    <col min="8193" max="8193" width="4.5703125" style="115" customWidth="1"/>
    <col min="8194" max="8194" width="62.5703125" style="115" customWidth="1"/>
    <col min="8195" max="8195" width="15.28515625" style="115" customWidth="1"/>
    <col min="8196" max="8448" width="9.28515625" style="115"/>
    <col min="8449" max="8449" width="4.5703125" style="115" customWidth="1"/>
    <col min="8450" max="8450" width="62.5703125" style="115" customWidth="1"/>
    <col min="8451" max="8451" width="15.28515625" style="115" customWidth="1"/>
    <col min="8452" max="8704" width="9.28515625" style="115"/>
    <col min="8705" max="8705" width="4.5703125" style="115" customWidth="1"/>
    <col min="8706" max="8706" width="62.5703125" style="115" customWidth="1"/>
    <col min="8707" max="8707" width="15.28515625" style="115" customWidth="1"/>
    <col min="8708" max="8960" width="9.28515625" style="115"/>
    <col min="8961" max="8961" width="4.5703125" style="115" customWidth="1"/>
    <col min="8962" max="8962" width="62.5703125" style="115" customWidth="1"/>
    <col min="8963" max="8963" width="15.28515625" style="115" customWidth="1"/>
    <col min="8964" max="9216" width="9.28515625" style="115"/>
    <col min="9217" max="9217" width="4.5703125" style="115" customWidth="1"/>
    <col min="9218" max="9218" width="62.5703125" style="115" customWidth="1"/>
    <col min="9219" max="9219" width="15.28515625" style="115" customWidth="1"/>
    <col min="9220" max="9472" width="9.28515625" style="115"/>
    <col min="9473" max="9473" width="4.5703125" style="115" customWidth="1"/>
    <col min="9474" max="9474" width="62.5703125" style="115" customWidth="1"/>
    <col min="9475" max="9475" width="15.28515625" style="115" customWidth="1"/>
    <col min="9476" max="9728" width="9.28515625" style="115"/>
    <col min="9729" max="9729" width="4.5703125" style="115" customWidth="1"/>
    <col min="9730" max="9730" width="62.5703125" style="115" customWidth="1"/>
    <col min="9731" max="9731" width="15.28515625" style="115" customWidth="1"/>
    <col min="9732" max="9984" width="9.28515625" style="115"/>
    <col min="9985" max="9985" width="4.5703125" style="115" customWidth="1"/>
    <col min="9986" max="9986" width="62.5703125" style="115" customWidth="1"/>
    <col min="9987" max="9987" width="15.28515625" style="115" customWidth="1"/>
    <col min="9988" max="10240" width="9.28515625" style="115"/>
    <col min="10241" max="10241" width="4.5703125" style="115" customWidth="1"/>
    <col min="10242" max="10242" width="62.5703125" style="115" customWidth="1"/>
    <col min="10243" max="10243" width="15.28515625" style="115" customWidth="1"/>
    <col min="10244" max="10496" width="9.28515625" style="115"/>
    <col min="10497" max="10497" width="4.5703125" style="115" customWidth="1"/>
    <col min="10498" max="10498" width="62.5703125" style="115" customWidth="1"/>
    <col min="10499" max="10499" width="15.28515625" style="115" customWidth="1"/>
    <col min="10500" max="10752" width="9.28515625" style="115"/>
    <col min="10753" max="10753" width="4.5703125" style="115" customWidth="1"/>
    <col min="10754" max="10754" width="62.5703125" style="115" customWidth="1"/>
    <col min="10755" max="10755" width="15.28515625" style="115" customWidth="1"/>
    <col min="10756" max="11008" width="9.28515625" style="115"/>
    <col min="11009" max="11009" width="4.5703125" style="115" customWidth="1"/>
    <col min="11010" max="11010" width="62.5703125" style="115" customWidth="1"/>
    <col min="11011" max="11011" width="15.28515625" style="115" customWidth="1"/>
    <col min="11012" max="11264" width="9.28515625" style="115"/>
    <col min="11265" max="11265" width="4.5703125" style="115" customWidth="1"/>
    <col min="11266" max="11266" width="62.5703125" style="115" customWidth="1"/>
    <col min="11267" max="11267" width="15.28515625" style="115" customWidth="1"/>
    <col min="11268" max="11520" width="9.28515625" style="115"/>
    <col min="11521" max="11521" width="4.5703125" style="115" customWidth="1"/>
    <col min="11522" max="11522" width="62.5703125" style="115" customWidth="1"/>
    <col min="11523" max="11523" width="15.28515625" style="115" customWidth="1"/>
    <col min="11524" max="11776" width="9.28515625" style="115"/>
    <col min="11777" max="11777" width="4.5703125" style="115" customWidth="1"/>
    <col min="11778" max="11778" width="62.5703125" style="115" customWidth="1"/>
    <col min="11779" max="11779" width="15.28515625" style="115" customWidth="1"/>
    <col min="11780" max="12032" width="9.28515625" style="115"/>
    <col min="12033" max="12033" width="4.5703125" style="115" customWidth="1"/>
    <col min="12034" max="12034" width="62.5703125" style="115" customWidth="1"/>
    <col min="12035" max="12035" width="15.28515625" style="115" customWidth="1"/>
    <col min="12036" max="12288" width="9.28515625" style="115"/>
    <col min="12289" max="12289" width="4.5703125" style="115" customWidth="1"/>
    <col min="12290" max="12290" width="62.5703125" style="115" customWidth="1"/>
    <col min="12291" max="12291" width="15.28515625" style="115" customWidth="1"/>
    <col min="12292" max="12544" width="9.28515625" style="115"/>
    <col min="12545" max="12545" width="4.5703125" style="115" customWidth="1"/>
    <col min="12546" max="12546" width="62.5703125" style="115" customWidth="1"/>
    <col min="12547" max="12547" width="15.28515625" style="115" customWidth="1"/>
    <col min="12548" max="12800" width="9.28515625" style="115"/>
    <col min="12801" max="12801" width="4.5703125" style="115" customWidth="1"/>
    <col min="12802" max="12802" width="62.5703125" style="115" customWidth="1"/>
    <col min="12803" max="12803" width="15.28515625" style="115" customWidth="1"/>
    <col min="12804" max="13056" width="9.28515625" style="115"/>
    <col min="13057" max="13057" width="4.5703125" style="115" customWidth="1"/>
    <col min="13058" max="13058" width="62.5703125" style="115" customWidth="1"/>
    <col min="13059" max="13059" width="15.28515625" style="115" customWidth="1"/>
    <col min="13060" max="13312" width="9.28515625" style="115"/>
    <col min="13313" max="13313" width="4.5703125" style="115" customWidth="1"/>
    <col min="13314" max="13314" width="62.5703125" style="115" customWidth="1"/>
    <col min="13315" max="13315" width="15.28515625" style="115" customWidth="1"/>
    <col min="13316" max="13568" width="9.28515625" style="115"/>
    <col min="13569" max="13569" width="4.5703125" style="115" customWidth="1"/>
    <col min="13570" max="13570" width="62.5703125" style="115" customWidth="1"/>
    <col min="13571" max="13571" width="15.28515625" style="115" customWidth="1"/>
    <col min="13572" max="13824" width="9.28515625" style="115"/>
    <col min="13825" max="13825" width="4.5703125" style="115" customWidth="1"/>
    <col min="13826" max="13826" width="62.5703125" style="115" customWidth="1"/>
    <col min="13827" max="13827" width="15.28515625" style="115" customWidth="1"/>
    <col min="13828" max="14080" width="9.28515625" style="115"/>
    <col min="14081" max="14081" width="4.5703125" style="115" customWidth="1"/>
    <col min="14082" max="14082" width="62.5703125" style="115" customWidth="1"/>
    <col min="14083" max="14083" width="15.28515625" style="115" customWidth="1"/>
    <col min="14084" max="14336" width="9.28515625" style="115"/>
    <col min="14337" max="14337" width="4.5703125" style="115" customWidth="1"/>
    <col min="14338" max="14338" width="62.5703125" style="115" customWidth="1"/>
    <col min="14339" max="14339" width="15.28515625" style="115" customWidth="1"/>
    <col min="14340" max="14592" width="9.28515625" style="115"/>
    <col min="14593" max="14593" width="4.5703125" style="115" customWidth="1"/>
    <col min="14594" max="14594" width="62.5703125" style="115" customWidth="1"/>
    <col min="14595" max="14595" width="15.28515625" style="115" customWidth="1"/>
    <col min="14596" max="14848" width="9.28515625" style="115"/>
    <col min="14849" max="14849" width="4.5703125" style="115" customWidth="1"/>
    <col min="14850" max="14850" width="62.5703125" style="115" customWidth="1"/>
    <col min="14851" max="14851" width="15.28515625" style="115" customWidth="1"/>
    <col min="14852" max="15104" width="9.28515625" style="115"/>
    <col min="15105" max="15105" width="4.5703125" style="115" customWidth="1"/>
    <col min="15106" max="15106" width="62.5703125" style="115" customWidth="1"/>
    <col min="15107" max="15107" width="15.28515625" style="115" customWidth="1"/>
    <col min="15108" max="15360" width="9.28515625" style="115"/>
    <col min="15361" max="15361" width="4.5703125" style="115" customWidth="1"/>
    <col min="15362" max="15362" width="62.5703125" style="115" customWidth="1"/>
    <col min="15363" max="15363" width="15.28515625" style="115" customWidth="1"/>
    <col min="15364" max="15616" width="9.28515625" style="115"/>
    <col min="15617" max="15617" width="4.5703125" style="115" customWidth="1"/>
    <col min="15618" max="15618" width="62.5703125" style="115" customWidth="1"/>
    <col min="15619" max="15619" width="15.28515625" style="115" customWidth="1"/>
    <col min="15620" max="15872" width="9.28515625" style="115"/>
    <col min="15873" max="15873" width="4.5703125" style="115" customWidth="1"/>
    <col min="15874" max="15874" width="62.5703125" style="115" customWidth="1"/>
    <col min="15875" max="15875" width="15.28515625" style="115" customWidth="1"/>
    <col min="15876" max="16128" width="9.28515625" style="115"/>
    <col min="16129" max="16129" width="4.5703125" style="115" customWidth="1"/>
    <col min="16130" max="16130" width="62.5703125" style="115" customWidth="1"/>
    <col min="16131" max="16131" width="15.28515625" style="115" customWidth="1"/>
    <col min="16132" max="16384" width="9.28515625" style="115"/>
  </cols>
  <sheetData>
    <row r="1" spans="1:3" ht="15.75" x14ac:dyDescent="0.25">
      <c r="A1" s="244" t="s">
        <v>166</v>
      </c>
      <c r="B1" s="244"/>
      <c r="C1" s="244"/>
    </row>
    <row r="2" spans="1:3" ht="15.75" x14ac:dyDescent="0.25">
      <c r="A2" s="116"/>
      <c r="B2" s="116"/>
      <c r="C2" s="116"/>
    </row>
    <row r="3" spans="1:3" ht="15.75" x14ac:dyDescent="0.25">
      <c r="A3" s="277" t="s">
        <v>122</v>
      </c>
      <c r="B3" s="277"/>
      <c r="C3" s="277"/>
    </row>
    <row r="4" spans="1:3" ht="15.75" x14ac:dyDescent="0.25">
      <c r="A4" s="117"/>
      <c r="B4" s="117"/>
      <c r="C4" s="117"/>
    </row>
    <row r="5" spans="1:3" ht="80.650000000000006" customHeight="1" x14ac:dyDescent="0.25">
      <c r="A5" s="278" t="s">
        <v>167</v>
      </c>
      <c r="B5" s="278"/>
      <c r="C5" s="278"/>
    </row>
    <row r="6" spans="1:3" ht="15.75" x14ac:dyDescent="0.25">
      <c r="A6" s="277"/>
      <c r="B6" s="277"/>
      <c r="C6" s="277"/>
    </row>
    <row r="7" spans="1:3" ht="15.75" thickBot="1" x14ac:dyDescent="0.25"/>
    <row r="8" spans="1:3" ht="29.25" customHeight="1" thickBot="1" x14ac:dyDescent="0.25">
      <c r="A8" s="118" t="s">
        <v>0</v>
      </c>
      <c r="B8" s="119" t="s">
        <v>123</v>
      </c>
      <c r="C8" s="118" t="s">
        <v>124</v>
      </c>
    </row>
    <row r="9" spans="1:3" ht="19.5" customHeight="1" x14ac:dyDescent="0.2">
      <c r="A9" s="120" t="s">
        <v>3</v>
      </c>
      <c r="B9" s="121" t="s">
        <v>125</v>
      </c>
      <c r="C9" s="122">
        <f>750/4</f>
        <v>187.5</v>
      </c>
    </row>
    <row r="10" spans="1:3" ht="15.75" x14ac:dyDescent="0.2">
      <c r="A10" s="123"/>
      <c r="B10" s="124" t="s">
        <v>126</v>
      </c>
      <c r="C10" s="125"/>
    </row>
    <row r="11" spans="1:3" ht="16.5" thickBot="1" x14ac:dyDescent="0.25">
      <c r="A11" s="126"/>
      <c r="B11" s="127" t="s">
        <v>127</v>
      </c>
      <c r="C11" s="128"/>
    </row>
    <row r="12" spans="1:3" ht="31.5" x14ac:dyDescent="0.25">
      <c r="A12" s="120" t="s">
        <v>4</v>
      </c>
      <c r="B12" s="129" t="s">
        <v>128</v>
      </c>
      <c r="C12" s="122">
        <f>9.78*36</f>
        <v>352.08</v>
      </c>
    </row>
    <row r="13" spans="1:3" ht="15.75" customHeight="1" x14ac:dyDescent="0.25">
      <c r="A13" s="130"/>
      <c r="B13" s="124" t="s">
        <v>152</v>
      </c>
      <c r="C13" s="131"/>
    </row>
    <row r="14" spans="1:3" ht="16.5" customHeight="1" thickBot="1" x14ac:dyDescent="0.3">
      <c r="A14" s="132"/>
      <c r="B14" s="127" t="s">
        <v>163</v>
      </c>
      <c r="C14" s="133"/>
    </row>
    <row r="15" spans="1:3" ht="15.75" x14ac:dyDescent="0.25">
      <c r="A15" s="134" t="s">
        <v>5</v>
      </c>
      <c r="B15" s="129" t="s">
        <v>131</v>
      </c>
      <c r="C15" s="135">
        <f>5.76*114.82</f>
        <v>661.36</v>
      </c>
    </row>
    <row r="16" spans="1:3" ht="35.25" customHeight="1" x14ac:dyDescent="0.25">
      <c r="A16" s="136"/>
      <c r="B16" s="124" t="s">
        <v>168</v>
      </c>
      <c r="C16" s="131"/>
    </row>
    <row r="17" spans="1:3" x14ac:dyDescent="0.2">
      <c r="A17" s="136"/>
      <c r="B17" s="137" t="s">
        <v>132</v>
      </c>
      <c r="C17" s="138"/>
    </row>
    <row r="18" spans="1:3" x14ac:dyDescent="0.2">
      <c r="A18" s="136"/>
      <c r="B18" s="137" t="s">
        <v>133</v>
      </c>
      <c r="C18" s="138"/>
    </row>
    <row r="19" spans="1:3" ht="15.75" thickBot="1" x14ac:dyDescent="0.25">
      <c r="A19" s="139"/>
      <c r="B19" s="140" t="s">
        <v>136</v>
      </c>
      <c r="C19" s="141"/>
    </row>
    <row r="20" spans="1:3" ht="34.5" customHeight="1" thickBot="1" x14ac:dyDescent="0.3">
      <c r="A20" s="142"/>
      <c r="B20" s="143" t="s">
        <v>36</v>
      </c>
      <c r="C20" s="144">
        <f>SUM(C9:C19)</f>
        <v>1200.94</v>
      </c>
    </row>
    <row r="22" spans="1:3" x14ac:dyDescent="0.2">
      <c r="B22" s="115" t="s">
        <v>134</v>
      </c>
    </row>
    <row r="24" spans="1:3" x14ac:dyDescent="0.2">
      <c r="B24" s="115" t="s">
        <v>134</v>
      </c>
    </row>
    <row r="27" spans="1:3" x14ac:dyDescent="0.2">
      <c r="B27" s="115" t="s">
        <v>134</v>
      </c>
    </row>
    <row r="38" spans="3:3" x14ac:dyDescent="0.2">
      <c r="C38" s="145"/>
    </row>
  </sheetData>
  <mergeCells count="4">
    <mergeCell ref="A1:C1"/>
    <mergeCell ref="A3:C3"/>
    <mergeCell ref="A5:C5"/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sqref="A1:N1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46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42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52372.639999999999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42">
        <v>164</v>
      </c>
      <c r="D7" s="43">
        <v>36</v>
      </c>
      <c r="E7" s="58">
        <v>8.16</v>
      </c>
      <c r="F7" s="13">
        <v>0</v>
      </c>
      <c r="G7" s="14">
        <f>(C7*D7*E7)+F7</f>
        <v>48176.639999999999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36</v>
      </c>
      <c r="J8" s="58">
        <v>37</v>
      </c>
      <c r="K8" s="13">
        <v>0</v>
      </c>
      <c r="L8" s="15">
        <f t="shared" ref="L8:L9" si="1">(H8*I8*J8)+K8</f>
        <v>3996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114710.22</v>
      </c>
      <c r="N10" s="252" t="s">
        <v>37</v>
      </c>
    </row>
    <row r="11" spans="1:15" ht="42.6" customHeight="1" x14ac:dyDescent="0.25">
      <c r="A11" s="2" t="s">
        <v>3</v>
      </c>
      <c r="B11" s="5" t="s">
        <v>174</v>
      </c>
      <c r="C11" s="61">
        <f>C7*D7*0.139563</f>
        <v>823.98</v>
      </c>
      <c r="D11" s="58">
        <v>15.96</v>
      </c>
      <c r="E11" s="13">
        <v>0</v>
      </c>
      <c r="F11" s="13">
        <v>0</v>
      </c>
      <c r="G11" s="15">
        <f>C11*D11</f>
        <v>13150.72</v>
      </c>
      <c r="H11" s="60">
        <f>C11</f>
        <v>823.98</v>
      </c>
      <c r="I11" s="36"/>
      <c r="J11" s="59">
        <v>98.86</v>
      </c>
      <c r="K11" s="47">
        <v>0</v>
      </c>
      <c r="L11" s="15">
        <f>H11*J11</f>
        <v>81458.66</v>
      </c>
      <c r="M11" s="184"/>
      <c r="N11" s="253"/>
    </row>
    <row r="12" spans="1:15" ht="42.6" customHeight="1" x14ac:dyDescent="0.25">
      <c r="A12" s="11" t="s">
        <v>4</v>
      </c>
      <c r="B12" s="5" t="s">
        <v>175</v>
      </c>
      <c r="C12" s="195">
        <f>H8*I8*1.5</f>
        <v>162</v>
      </c>
      <c r="D12" s="58">
        <v>15.96</v>
      </c>
      <c r="E12" s="13">
        <v>0</v>
      </c>
      <c r="F12" s="13">
        <v>0</v>
      </c>
      <c r="G12" s="15">
        <f>C12*D12</f>
        <v>2585.52</v>
      </c>
      <c r="H12" s="197">
        <f>C12</f>
        <v>162</v>
      </c>
      <c r="I12" s="198"/>
      <c r="J12" s="59">
        <v>98.86</v>
      </c>
      <c r="K12" s="47">
        <v>0</v>
      </c>
      <c r="L12" s="15">
        <f>H12*J12</f>
        <v>16015.32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14620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42">
        <v>15</v>
      </c>
      <c r="D15" s="62">
        <v>528</v>
      </c>
      <c r="E15" s="43">
        <v>2.5000000000000001E-2</v>
      </c>
      <c r="F15" s="43">
        <v>8</v>
      </c>
      <c r="G15" s="14">
        <f>C15*D15*E15*F15</f>
        <v>1584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64">
        <v>12836</v>
      </c>
      <c r="L16" s="46">
        <f t="shared" si="2"/>
        <v>12836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65496.88</v>
      </c>
      <c r="H19" s="49"/>
      <c r="I19" s="49"/>
      <c r="J19" s="49"/>
      <c r="K19" s="49"/>
      <c r="L19" s="50">
        <f>L7+L8+L9+L11+L12+L13+L15+L16+L17+L18</f>
        <v>116205.98</v>
      </c>
      <c r="M19" s="188">
        <f>M6+M10+M14</f>
        <v>181702.86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48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47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17225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55</v>
      </c>
      <c r="D7" s="106">
        <v>30</v>
      </c>
      <c r="E7" s="68">
        <v>9.7799999999999994</v>
      </c>
      <c r="F7" s="13">
        <v>0</v>
      </c>
      <c r="G7" s="14">
        <f>(C7*D7*E7)+F7</f>
        <v>16137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2</v>
      </c>
      <c r="I8" s="106">
        <v>12</v>
      </c>
      <c r="J8" s="58">
        <v>37</v>
      </c>
      <c r="K8" s="13">
        <v>0</v>
      </c>
      <c r="L8" s="15">
        <f t="shared" ref="L8:L9" si="1">(H8*I8*J8)+K8</f>
        <v>888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27093.37</v>
      </c>
      <c r="N10" s="252" t="s">
        <v>37</v>
      </c>
    </row>
    <row r="11" spans="1:15" ht="42" customHeight="1" x14ac:dyDescent="0.25">
      <c r="A11" s="2" t="s">
        <v>3</v>
      </c>
      <c r="B11" s="5" t="s">
        <v>174</v>
      </c>
      <c r="C11" s="61">
        <f>C7*D7*0.11327</f>
        <v>186.9</v>
      </c>
      <c r="D11" s="58">
        <v>15.96</v>
      </c>
      <c r="E11" s="13">
        <v>0</v>
      </c>
      <c r="F11" s="13">
        <v>0</v>
      </c>
      <c r="G11" s="15">
        <f>C11*D11</f>
        <v>2982.92</v>
      </c>
      <c r="H11" s="60">
        <f>C11</f>
        <v>186.9</v>
      </c>
      <c r="I11" s="36"/>
      <c r="J11" s="59">
        <v>98.86</v>
      </c>
      <c r="K11" s="47">
        <v>0</v>
      </c>
      <c r="L11" s="15">
        <f>H11*J11</f>
        <v>18476.93</v>
      </c>
      <c r="M11" s="184"/>
      <c r="N11" s="253"/>
    </row>
    <row r="12" spans="1:15" ht="42" customHeight="1" x14ac:dyDescent="0.25">
      <c r="A12" s="11" t="s">
        <v>4</v>
      </c>
      <c r="B12" s="5" t="s">
        <v>175</v>
      </c>
      <c r="C12" s="195">
        <f>H8*I8*1.5</f>
        <v>36</v>
      </c>
      <c r="D12" s="58">
        <v>15.96</v>
      </c>
      <c r="E12" s="13">
        <v>0</v>
      </c>
      <c r="F12" s="13">
        <v>0</v>
      </c>
      <c r="G12" s="15">
        <f>C12*D12</f>
        <v>574.55999999999995</v>
      </c>
      <c r="H12" s="197">
        <f>C12</f>
        <v>36</v>
      </c>
      <c r="I12" s="198"/>
      <c r="J12" s="59">
        <v>98.86</v>
      </c>
      <c r="K12" s="47">
        <v>0</v>
      </c>
      <c r="L12" s="15">
        <f>H12*J12</f>
        <v>3558.96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8526.7999999999993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23</v>
      </c>
      <c r="D15" s="62">
        <v>528</v>
      </c>
      <c r="E15" s="43">
        <v>2.5000000000000001E-2</v>
      </c>
      <c r="F15" s="43">
        <v>8</v>
      </c>
      <c r="G15" s="14">
        <f>C15*D15*E15*F15</f>
        <v>2428.8000000000002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5898</v>
      </c>
      <c r="L16" s="46">
        <f t="shared" si="2"/>
        <v>5898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22123.279999999999</v>
      </c>
      <c r="H19" s="49"/>
      <c r="I19" s="49"/>
      <c r="J19" s="49"/>
      <c r="K19" s="49"/>
      <c r="L19" s="50">
        <f>L7+L8+L9+L11+L12+L13+L15+L16+L17+L18</f>
        <v>30721.89</v>
      </c>
      <c r="M19" s="188">
        <f>M6+M10+M14</f>
        <v>52845.17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49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50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41052.800000000003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130</v>
      </c>
      <c r="D7" s="106">
        <v>36</v>
      </c>
      <c r="E7" s="68">
        <v>8.16</v>
      </c>
      <c r="F7" s="13">
        <v>0</v>
      </c>
      <c r="G7" s="14">
        <f>(C7*D7*E7)+F7</f>
        <v>38188.800000000003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3</v>
      </c>
      <c r="I8" s="106">
        <v>24</v>
      </c>
      <c r="J8" s="58">
        <v>37</v>
      </c>
      <c r="K8" s="13">
        <v>0</v>
      </c>
      <c r="L8" s="15">
        <f t="shared" ref="L8:L9" si="1">(H8*I8*J8)+K8</f>
        <v>2664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95468.68</v>
      </c>
      <c r="N10" s="252" t="s">
        <v>37</v>
      </c>
    </row>
    <row r="11" spans="1:15" ht="42.6" customHeight="1" x14ac:dyDescent="0.25">
      <c r="A11" s="2" t="s">
        <v>3</v>
      </c>
      <c r="B11" s="5" t="s">
        <v>174</v>
      </c>
      <c r="C11" s="61">
        <f>C7*D7*0.1517948</f>
        <v>710.4</v>
      </c>
      <c r="D11" s="58">
        <v>15.96</v>
      </c>
      <c r="E11" s="13">
        <v>0</v>
      </c>
      <c r="F11" s="13">
        <v>0</v>
      </c>
      <c r="G11" s="15">
        <f>C11*D11</f>
        <v>11337.98</v>
      </c>
      <c r="H11" s="60">
        <f>C11</f>
        <v>710.4</v>
      </c>
      <c r="I11" s="36"/>
      <c r="J11" s="59">
        <v>98.86</v>
      </c>
      <c r="K11" s="47">
        <v>0</v>
      </c>
      <c r="L11" s="15">
        <f>H11*J11</f>
        <v>70230.14</v>
      </c>
      <c r="M11" s="184"/>
      <c r="N11" s="253"/>
    </row>
    <row r="12" spans="1:15" ht="41.45" customHeight="1" x14ac:dyDescent="0.25">
      <c r="A12" s="11" t="s">
        <v>4</v>
      </c>
      <c r="B12" s="5" t="s">
        <v>175</v>
      </c>
      <c r="C12" s="195">
        <f>H8*I8*1.5</f>
        <v>108</v>
      </c>
      <c r="D12" s="58">
        <v>15.96</v>
      </c>
      <c r="E12" s="13">
        <v>0</v>
      </c>
      <c r="F12" s="13">
        <v>0</v>
      </c>
      <c r="G12" s="15">
        <f>C12*D12</f>
        <v>1723.68</v>
      </c>
      <c r="H12" s="197">
        <f>C12</f>
        <v>108</v>
      </c>
      <c r="I12" s="198"/>
      <c r="J12" s="59">
        <v>98.86</v>
      </c>
      <c r="K12" s="47">
        <v>0</v>
      </c>
      <c r="L12" s="15">
        <f>H12*J12</f>
        <v>10676.88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13667.6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66</v>
      </c>
      <c r="D15" s="62">
        <v>528</v>
      </c>
      <c r="E15" s="43">
        <v>2.5000000000000001E-2</v>
      </c>
      <c r="F15" s="43">
        <v>8</v>
      </c>
      <c r="G15" s="14">
        <f>C15*D15*E15*F15</f>
        <v>6969.6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6498</v>
      </c>
      <c r="L16" s="46">
        <f t="shared" si="2"/>
        <v>6498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58220.06</v>
      </c>
      <c r="H19" s="49"/>
      <c r="I19" s="49"/>
      <c r="J19" s="49"/>
      <c r="K19" s="49"/>
      <c r="L19" s="50">
        <f>L7+L8+L9+L11+L12+L13+L15+L16+L17+L18</f>
        <v>91969.02</v>
      </c>
      <c r="M19" s="188">
        <f>M6+M10+M14</f>
        <v>150189.07999999999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51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52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15789.44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44</v>
      </c>
      <c r="D7" s="106">
        <v>36</v>
      </c>
      <c r="E7" s="68">
        <v>8.16</v>
      </c>
      <c r="F7" s="13">
        <v>0</v>
      </c>
      <c r="G7" s="14">
        <f>(C7*D7*E7)+F7</f>
        <v>12925.44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3</v>
      </c>
      <c r="I8" s="106">
        <v>24</v>
      </c>
      <c r="J8" s="58">
        <v>37</v>
      </c>
      <c r="K8" s="13">
        <v>0</v>
      </c>
      <c r="L8" s="15">
        <f t="shared" ref="L8:L9" si="1">(H8*I8*J8)+K8</f>
        <v>2664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40435.47</v>
      </c>
      <c r="N10" s="252" t="s">
        <v>37</v>
      </c>
    </row>
    <row r="11" spans="1:15" ht="43.15" customHeight="1" x14ac:dyDescent="0.25">
      <c r="A11" s="2" t="s">
        <v>3</v>
      </c>
      <c r="B11" s="5" t="s">
        <v>174</v>
      </c>
      <c r="C11" s="61">
        <f>C7*D7*0.145896</f>
        <v>231.1</v>
      </c>
      <c r="D11" s="58">
        <v>15.96</v>
      </c>
      <c r="E11" s="13">
        <v>0</v>
      </c>
      <c r="F11" s="13">
        <v>0</v>
      </c>
      <c r="G11" s="15">
        <f>C11*D11</f>
        <v>3688.36</v>
      </c>
      <c r="H11" s="60">
        <f>C11</f>
        <v>231.1</v>
      </c>
      <c r="I11" s="36"/>
      <c r="J11" s="59">
        <v>98.86</v>
      </c>
      <c r="K11" s="47">
        <v>0</v>
      </c>
      <c r="L11" s="15">
        <f>H11*J11</f>
        <v>22846.55</v>
      </c>
      <c r="M11" s="184"/>
      <c r="N11" s="253"/>
    </row>
    <row r="12" spans="1:15" ht="42" customHeight="1" x14ac:dyDescent="0.25">
      <c r="A12" s="11" t="s">
        <v>4</v>
      </c>
      <c r="B12" s="5" t="s">
        <v>175</v>
      </c>
      <c r="C12" s="195">
        <f>H8*I8*1.5</f>
        <v>108</v>
      </c>
      <c r="D12" s="58">
        <v>15.96</v>
      </c>
      <c r="E12" s="13">
        <v>0</v>
      </c>
      <c r="F12" s="13">
        <v>0</v>
      </c>
      <c r="G12" s="15">
        <f>C12*D12</f>
        <v>1723.68</v>
      </c>
      <c r="H12" s="197">
        <f>C12</f>
        <v>108</v>
      </c>
      <c r="I12" s="198"/>
      <c r="J12" s="59">
        <v>98.86</v>
      </c>
      <c r="K12" s="47">
        <v>0</v>
      </c>
      <c r="L12" s="15">
        <f>H12*J12</f>
        <v>10676.88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8280.2000000000007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12</v>
      </c>
      <c r="D15" s="62">
        <v>528</v>
      </c>
      <c r="E15" s="43">
        <v>2.5000000000000001E-2</v>
      </c>
      <c r="F15" s="43">
        <v>8</v>
      </c>
      <c r="G15" s="14">
        <f>C15*D15*E15*F15</f>
        <v>1267.2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6813</v>
      </c>
      <c r="L16" s="46">
        <f t="shared" si="2"/>
        <v>6813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19604.68</v>
      </c>
      <c r="H19" s="49"/>
      <c r="I19" s="49"/>
      <c r="J19" s="49"/>
      <c r="K19" s="49"/>
      <c r="L19" s="50">
        <f>L7+L8+L9+L11+L12+L13+L15+L16+L17+L18</f>
        <v>44900.43</v>
      </c>
      <c r="M19" s="188">
        <f>M6+M10+M14</f>
        <v>64505.11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54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53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9750.56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31</v>
      </c>
      <c r="D7" s="106">
        <v>36</v>
      </c>
      <c r="E7" s="68">
        <v>8.16</v>
      </c>
      <c r="F7" s="13">
        <v>0</v>
      </c>
      <c r="G7" s="14">
        <f>(C7*D7*E7)+F7</f>
        <v>9106.56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1</v>
      </c>
      <c r="I8" s="106">
        <v>12</v>
      </c>
      <c r="J8" s="58">
        <v>37</v>
      </c>
      <c r="K8" s="13">
        <v>0</v>
      </c>
      <c r="L8" s="15">
        <f t="shared" ref="L8:L9" si="1">(H8*I8*J8)+K8</f>
        <v>444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25120.77</v>
      </c>
      <c r="N10" s="252" t="s">
        <v>37</v>
      </c>
    </row>
    <row r="11" spans="1:15" ht="46.9" customHeight="1" x14ac:dyDescent="0.25">
      <c r="A11" s="2" t="s">
        <v>3</v>
      </c>
      <c r="B11" s="5" t="s">
        <v>174</v>
      </c>
      <c r="C11" s="61">
        <f>C7*D7*0.168207</f>
        <v>187.72</v>
      </c>
      <c r="D11" s="58">
        <v>15.96</v>
      </c>
      <c r="E11" s="13">
        <v>0</v>
      </c>
      <c r="F11" s="13">
        <v>0</v>
      </c>
      <c r="G11" s="15">
        <f>C11*D11</f>
        <v>2996.01</v>
      </c>
      <c r="H11" s="60">
        <f>C11</f>
        <v>187.72</v>
      </c>
      <c r="I11" s="36"/>
      <c r="J11" s="59">
        <v>98.86</v>
      </c>
      <c r="K11" s="47">
        <v>0</v>
      </c>
      <c r="L11" s="15">
        <f>H11*J11</f>
        <v>18558</v>
      </c>
      <c r="M11" s="184"/>
      <c r="N11" s="253"/>
    </row>
    <row r="12" spans="1:15" ht="43.9" customHeight="1" x14ac:dyDescent="0.25">
      <c r="A12" s="11" t="s">
        <v>4</v>
      </c>
      <c r="B12" s="5" t="s">
        <v>175</v>
      </c>
      <c r="C12" s="195">
        <f>H8*I8*1.5</f>
        <v>18</v>
      </c>
      <c r="D12" s="58">
        <v>15.96</v>
      </c>
      <c r="E12" s="13">
        <v>0</v>
      </c>
      <c r="F12" s="13">
        <v>0</v>
      </c>
      <c r="G12" s="15">
        <f>C12*D12</f>
        <v>287.27999999999997</v>
      </c>
      <c r="H12" s="197">
        <f>C12</f>
        <v>18</v>
      </c>
      <c r="I12" s="198"/>
      <c r="J12" s="59">
        <v>98.86</v>
      </c>
      <c r="K12" s="47">
        <v>0</v>
      </c>
      <c r="L12" s="15">
        <f>H12*J12</f>
        <v>1779.48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8021.4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9</v>
      </c>
      <c r="D15" s="62">
        <v>528</v>
      </c>
      <c r="E15" s="43">
        <v>2.5000000000000001E-2</v>
      </c>
      <c r="F15" s="43">
        <v>8</v>
      </c>
      <c r="G15" s="14">
        <f>C15*D15*E15*F15</f>
        <v>950.4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6871</v>
      </c>
      <c r="L16" s="46">
        <f t="shared" si="2"/>
        <v>6871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13340.25</v>
      </c>
      <c r="H19" s="49"/>
      <c r="I19" s="49"/>
      <c r="J19" s="49"/>
      <c r="K19" s="49"/>
      <c r="L19" s="50">
        <f>L7+L8+L9+L11+L12+L13+L15+L16+L17+L18</f>
        <v>29552.48</v>
      </c>
      <c r="M19" s="188">
        <f>M6+M10+M14</f>
        <v>42892.73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Zeros="0" workbookViewId="0">
      <selection activeCell="F7" sqref="F7"/>
    </sheetView>
  </sheetViews>
  <sheetFormatPr defaultRowHeight="15" x14ac:dyDescent="0.25"/>
  <cols>
    <col min="1" max="1" width="3.85546875" customWidth="1"/>
    <col min="2" max="2" width="37.7109375" customWidth="1"/>
    <col min="3" max="3" width="12.140625" customWidth="1"/>
    <col min="4" max="4" width="13.42578125" customWidth="1"/>
    <col min="5" max="5" width="17.140625" customWidth="1"/>
    <col min="6" max="6" width="11.28515625" customWidth="1"/>
    <col min="7" max="7" width="13.7109375" customWidth="1"/>
    <col min="8" max="8" width="15.28515625" customWidth="1"/>
    <col min="9" max="9" width="11.85546875" customWidth="1"/>
    <col min="10" max="10" width="15.7109375" customWidth="1"/>
    <col min="11" max="11" width="12.7109375" customWidth="1"/>
    <col min="12" max="12" width="13.42578125" customWidth="1"/>
    <col min="13" max="13" width="13" customWidth="1"/>
    <col min="14" max="14" width="9.5703125" customWidth="1"/>
  </cols>
  <sheetData>
    <row r="1" spans="1:15" x14ac:dyDescent="0.25">
      <c r="A1" s="248" t="s">
        <v>55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x14ac:dyDescent="0.25">
      <c r="A2" s="247" t="s">
        <v>33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5" x14ac:dyDescent="0.25">
      <c r="A3" s="249" t="s">
        <v>56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15" ht="15.75" thickBot="1" x14ac:dyDescent="0.3"/>
    <row r="5" spans="1:15" ht="46.15" customHeight="1" thickBot="1" x14ac:dyDescent="0.3">
      <c r="A5" s="18" t="s">
        <v>0</v>
      </c>
      <c r="B5" s="19" t="s">
        <v>2</v>
      </c>
      <c r="C5" s="255" t="s">
        <v>8</v>
      </c>
      <c r="D5" s="256"/>
      <c r="E5" s="256"/>
      <c r="F5" s="256"/>
      <c r="G5" s="257"/>
      <c r="H5" s="255" t="s">
        <v>28</v>
      </c>
      <c r="I5" s="256"/>
      <c r="J5" s="256"/>
      <c r="K5" s="256"/>
      <c r="L5" s="257"/>
      <c r="M5" s="20" t="s">
        <v>9</v>
      </c>
      <c r="N5" s="21" t="s">
        <v>29</v>
      </c>
    </row>
    <row r="6" spans="1:15" ht="44.45" customHeight="1" x14ac:dyDescent="0.25">
      <c r="A6" s="22" t="s">
        <v>24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83">
        <f>G7+G8+G9+L7+L8+L9</f>
        <v>21722.959999999999</v>
      </c>
      <c r="N6" s="252" t="s">
        <v>37</v>
      </c>
    </row>
    <row r="7" spans="1:15" ht="60" x14ac:dyDescent="0.25">
      <c r="A7" s="2" t="s">
        <v>3</v>
      </c>
      <c r="B7" s="3" t="s">
        <v>10</v>
      </c>
      <c r="C7" s="66">
        <v>71</v>
      </c>
      <c r="D7" s="106">
        <v>36</v>
      </c>
      <c r="E7" s="68">
        <v>8.16</v>
      </c>
      <c r="F7" s="13">
        <v>0</v>
      </c>
      <c r="G7" s="14">
        <f>(C7*D7*E7)+F7</f>
        <v>20856.96</v>
      </c>
      <c r="H7" s="35"/>
      <c r="I7" s="36"/>
      <c r="J7" s="36"/>
      <c r="K7" s="13">
        <v>0</v>
      </c>
      <c r="L7" s="15">
        <f>(H7*I7*J7)+K7</f>
        <v>0</v>
      </c>
      <c r="M7" s="184"/>
      <c r="N7" s="253"/>
      <c r="O7" s="10"/>
    </row>
    <row r="8" spans="1:15" ht="75" x14ac:dyDescent="0.25">
      <c r="A8" s="2" t="s">
        <v>4</v>
      </c>
      <c r="B8" s="3" t="s">
        <v>43</v>
      </c>
      <c r="C8" s="39"/>
      <c r="D8" s="40"/>
      <c r="E8" s="40"/>
      <c r="F8" s="13">
        <v>0</v>
      </c>
      <c r="G8" s="14">
        <f t="shared" ref="G8:G9" si="0">(C8*D8*E8)+F8</f>
        <v>0</v>
      </c>
      <c r="H8" s="66">
        <v>3</v>
      </c>
      <c r="I8" s="106">
        <v>6</v>
      </c>
      <c r="J8" s="58">
        <v>37</v>
      </c>
      <c r="K8" s="13">
        <v>0</v>
      </c>
      <c r="L8" s="15">
        <f t="shared" ref="L8:L9" si="1">(H8*I8*J8)+K8</f>
        <v>666</v>
      </c>
      <c r="M8" s="184"/>
      <c r="N8" s="253"/>
    </row>
    <row r="9" spans="1:15" ht="60.75" thickBot="1" x14ac:dyDescent="0.3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85"/>
      <c r="N9" s="254"/>
    </row>
    <row r="10" spans="1:15" ht="75" customHeight="1" x14ac:dyDescent="0.25">
      <c r="A10" s="22" t="s">
        <v>25</v>
      </c>
      <c r="B10" s="27" t="s">
        <v>6</v>
      </c>
      <c r="C10" s="23" t="s">
        <v>14</v>
      </c>
      <c r="D10" s="24" t="s">
        <v>12</v>
      </c>
      <c r="E10" s="24" t="s">
        <v>35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35</v>
      </c>
      <c r="K10" s="24" t="s">
        <v>15</v>
      </c>
      <c r="L10" s="28" t="s">
        <v>13</v>
      </c>
      <c r="M10" s="183">
        <f>G11+G12+G13+L11+L12+L13</f>
        <v>45099.45</v>
      </c>
      <c r="N10" s="252" t="s">
        <v>37</v>
      </c>
    </row>
    <row r="11" spans="1:15" ht="45" customHeight="1" x14ac:dyDescent="0.25">
      <c r="A11" s="2" t="s">
        <v>3</v>
      </c>
      <c r="B11" s="5" t="s">
        <v>174</v>
      </c>
      <c r="C11" s="61">
        <f>C7*D7*0.137996</f>
        <v>352.72</v>
      </c>
      <c r="D11" s="58">
        <v>15.96</v>
      </c>
      <c r="E11" s="13">
        <v>0</v>
      </c>
      <c r="F11" s="13">
        <v>0</v>
      </c>
      <c r="G11" s="15">
        <f>C11*D11</f>
        <v>5629.41</v>
      </c>
      <c r="H11" s="60">
        <f>C11</f>
        <v>352.72</v>
      </c>
      <c r="I11" s="36"/>
      <c r="J11" s="59">
        <v>98.86</v>
      </c>
      <c r="K11" s="47">
        <v>0</v>
      </c>
      <c r="L11" s="15">
        <f>H11*J11</f>
        <v>34869.9</v>
      </c>
      <c r="M11" s="184"/>
      <c r="N11" s="253"/>
    </row>
    <row r="12" spans="1:15" ht="44.45" customHeight="1" x14ac:dyDescent="0.25">
      <c r="A12" s="11" t="s">
        <v>4</v>
      </c>
      <c r="B12" s="5" t="s">
        <v>175</v>
      </c>
      <c r="C12" s="195">
        <f>H8*I8*1.5</f>
        <v>27</v>
      </c>
      <c r="D12" s="58">
        <v>15.96</v>
      </c>
      <c r="E12" s="13">
        <v>0</v>
      </c>
      <c r="F12" s="13">
        <v>0</v>
      </c>
      <c r="G12" s="15">
        <f>C12*D12</f>
        <v>430.92</v>
      </c>
      <c r="H12" s="197">
        <f>C12</f>
        <v>27</v>
      </c>
      <c r="I12" s="198"/>
      <c r="J12" s="59">
        <v>98.86</v>
      </c>
      <c r="K12" s="47">
        <v>0</v>
      </c>
      <c r="L12" s="15">
        <f>H12*J12</f>
        <v>2669.22</v>
      </c>
      <c r="M12" s="184"/>
      <c r="N12" s="253"/>
    </row>
    <row r="13" spans="1:15" ht="46.9" customHeight="1" thickBot="1" x14ac:dyDescent="0.3">
      <c r="A13" s="7" t="s">
        <v>5</v>
      </c>
      <c r="B13" s="9" t="s">
        <v>16</v>
      </c>
      <c r="C13" s="33"/>
      <c r="D13" s="34"/>
      <c r="E13" s="34"/>
      <c r="F13" s="41"/>
      <c r="G13" s="15">
        <f>C13*(D13+E13)</f>
        <v>0</v>
      </c>
      <c r="H13" s="33"/>
      <c r="I13" s="34"/>
      <c r="J13" s="34"/>
      <c r="K13" s="16">
        <v>1500</v>
      </c>
      <c r="L13" s="15">
        <f>(H13*(I13+J13))+K13</f>
        <v>1500</v>
      </c>
      <c r="M13" s="185"/>
      <c r="N13" s="254"/>
    </row>
    <row r="14" spans="1:15" ht="60.6" customHeight="1" x14ac:dyDescent="0.25">
      <c r="A14" s="29" t="s">
        <v>26</v>
      </c>
      <c r="B14" s="30" t="s">
        <v>7</v>
      </c>
      <c r="C14" s="31" t="s">
        <v>30</v>
      </c>
      <c r="D14" s="32" t="s">
        <v>31</v>
      </c>
      <c r="E14" s="32" t="s">
        <v>39</v>
      </c>
      <c r="F14" s="32" t="s">
        <v>32</v>
      </c>
      <c r="G14" s="28" t="s">
        <v>13</v>
      </c>
      <c r="H14" s="52"/>
      <c r="I14" s="53"/>
      <c r="J14" s="53"/>
      <c r="K14" s="32" t="s">
        <v>38</v>
      </c>
      <c r="L14" s="28" t="s">
        <v>13</v>
      </c>
      <c r="M14" s="183">
        <f>G15+G16+G17+L15+L16+L17+L18</f>
        <v>10009.200000000001</v>
      </c>
      <c r="N14" s="252" t="s">
        <v>37</v>
      </c>
    </row>
    <row r="15" spans="1:15" ht="34.15" customHeight="1" x14ac:dyDescent="0.25">
      <c r="A15" s="2" t="s">
        <v>3</v>
      </c>
      <c r="B15" s="4" t="s">
        <v>23</v>
      </c>
      <c r="C15" s="66">
        <v>22</v>
      </c>
      <c r="D15" s="62">
        <v>528</v>
      </c>
      <c r="E15" s="43">
        <v>2.5000000000000001E-2</v>
      </c>
      <c r="F15" s="43">
        <v>8</v>
      </c>
      <c r="G15" s="14">
        <f>C15*D15*E15*F15</f>
        <v>2323.1999999999998</v>
      </c>
      <c r="H15" s="54"/>
      <c r="I15" s="55"/>
      <c r="J15" s="55"/>
      <c r="K15" s="63">
        <v>0</v>
      </c>
      <c r="L15" s="46">
        <f t="shared" ref="L15:L18" si="2">K15</f>
        <v>0</v>
      </c>
      <c r="M15" s="184"/>
      <c r="N15" s="253"/>
    </row>
    <row r="16" spans="1:15" ht="64.150000000000006" customHeight="1" x14ac:dyDescent="0.25">
      <c r="A16" s="2" t="s">
        <v>4</v>
      </c>
      <c r="B16" s="6" t="s">
        <v>20</v>
      </c>
      <c r="C16" s="42"/>
      <c r="D16" s="43"/>
      <c r="E16" s="43"/>
      <c r="F16" s="43"/>
      <c r="G16" s="14">
        <f t="shared" ref="G16:G18" si="3">C16*D16*E16*F16</f>
        <v>0</v>
      </c>
      <c r="H16" s="54"/>
      <c r="I16" s="55"/>
      <c r="J16" s="55"/>
      <c r="K16" s="191">
        <v>7486</v>
      </c>
      <c r="L16" s="46">
        <f t="shared" si="2"/>
        <v>7486</v>
      </c>
      <c r="M16" s="184"/>
      <c r="N16" s="253"/>
    </row>
    <row r="17" spans="1:14" ht="46.9" customHeight="1" x14ac:dyDescent="0.25">
      <c r="A17" s="2" t="s">
        <v>5</v>
      </c>
      <c r="B17" s="6" t="s">
        <v>21</v>
      </c>
      <c r="C17" s="42"/>
      <c r="D17" s="43"/>
      <c r="E17" s="43"/>
      <c r="F17" s="43"/>
      <c r="G17" s="14">
        <f t="shared" si="3"/>
        <v>0</v>
      </c>
      <c r="H17" s="54"/>
      <c r="I17" s="55"/>
      <c r="J17" s="55"/>
      <c r="K17" s="64">
        <v>100</v>
      </c>
      <c r="L17" s="46">
        <f t="shared" si="2"/>
        <v>100</v>
      </c>
      <c r="M17" s="184"/>
      <c r="N17" s="253"/>
    </row>
    <row r="18" spans="1:14" ht="45.6" customHeight="1" thickBot="1" x14ac:dyDescent="0.3">
      <c r="A18" s="11" t="s">
        <v>27</v>
      </c>
      <c r="B18" s="12" t="s">
        <v>22</v>
      </c>
      <c r="C18" s="44"/>
      <c r="D18" s="45"/>
      <c r="E18" s="45"/>
      <c r="F18" s="45"/>
      <c r="G18" s="14">
        <f t="shared" si="3"/>
        <v>0</v>
      </c>
      <c r="H18" s="56"/>
      <c r="I18" s="57"/>
      <c r="J18" s="57"/>
      <c r="K18" s="65">
        <v>100</v>
      </c>
      <c r="L18" s="46">
        <f t="shared" si="2"/>
        <v>100</v>
      </c>
      <c r="M18" s="185"/>
      <c r="N18" s="253"/>
    </row>
    <row r="19" spans="1:14" ht="34.15" customHeight="1" thickBot="1" x14ac:dyDescent="0.3">
      <c r="A19" s="250" t="s">
        <v>36</v>
      </c>
      <c r="B19" s="251"/>
      <c r="C19" s="48"/>
      <c r="D19" s="49"/>
      <c r="E19" s="49"/>
      <c r="F19" s="49"/>
      <c r="G19" s="50">
        <f>G7+G8+G9+G11+G12+G13+G15+G16+G17+G18</f>
        <v>29240.49</v>
      </c>
      <c r="H19" s="49"/>
      <c r="I19" s="49"/>
      <c r="J19" s="49"/>
      <c r="K19" s="49"/>
      <c r="L19" s="50">
        <f>L7+L8+L9+L11+L12+L13+L15+L16+L17+L18</f>
        <v>47591.12</v>
      </c>
      <c r="M19" s="188">
        <f>M6+M10+M14</f>
        <v>76831.61</v>
      </c>
      <c r="N19" s="50"/>
    </row>
    <row r="21" spans="1:14" x14ac:dyDescent="0.25">
      <c r="M21" s="51"/>
    </row>
  </sheetData>
  <mergeCells count="9">
    <mergeCell ref="N10:N13"/>
    <mergeCell ref="N14:N18"/>
    <mergeCell ref="A19:B19"/>
    <mergeCell ref="N6:N9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32</vt:i4>
      </vt:variant>
    </vt:vector>
  </HeadingPairs>
  <TitlesOfParts>
    <vt:vector size="32" baseType="lpstr">
      <vt:lpstr>План сметки 2022</vt:lpstr>
      <vt:lpstr>с. Балкански</vt:lpstr>
      <vt:lpstr>с. Благоево</vt:lpstr>
      <vt:lpstr>с. Гецово</vt:lpstr>
      <vt:lpstr>с. Дряновец</vt:lpstr>
      <vt:lpstr>с. Дянково</vt:lpstr>
      <vt:lpstr>с. Киченица</vt:lpstr>
      <vt:lpstr>с. Липник</vt:lpstr>
      <vt:lpstr>с. Мортагоново</vt:lpstr>
      <vt:lpstr>с. Недоклан</vt:lpstr>
      <vt:lpstr>с. Осенец</vt:lpstr>
      <vt:lpstr>с. Островче</vt:lpstr>
      <vt:lpstr>с. Побит камък</vt:lpstr>
      <vt:lpstr>с. Просторно</vt:lpstr>
      <vt:lpstr>с. Пороище</vt:lpstr>
      <vt:lpstr>с. Радинград</vt:lpstr>
      <vt:lpstr>с.Раковски</vt:lpstr>
      <vt:lpstr>с. Стражец</vt:lpstr>
      <vt:lpstr>с. Топчии</vt:lpstr>
      <vt:lpstr>с. Ушинци</vt:lpstr>
      <vt:lpstr>с. Черковна</vt:lpstr>
      <vt:lpstr>с. Ясеновец</vt:lpstr>
      <vt:lpstr>гр. Разград</vt:lpstr>
      <vt:lpstr>Калкулация 24</vt:lpstr>
      <vt:lpstr>Калкулация 25</vt:lpstr>
      <vt:lpstr>Калкулация 26</vt:lpstr>
      <vt:lpstr>Калкулация 27</vt:lpstr>
      <vt:lpstr>Калкулация 28</vt:lpstr>
      <vt:lpstr>Калкулация 29</vt:lpstr>
      <vt:lpstr>Калкулация 30</vt:lpstr>
      <vt:lpstr>Калкулация 31</vt:lpstr>
      <vt:lpstr>Калкулация 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2021-12-08T05:37:43Z</dcterms:modified>
</cp:coreProperties>
</file>